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Web Design\Web Sites\ARCDirectory.co.za\www_2020\assets\files\"/>
    </mc:Choice>
  </mc:AlternateContent>
  <bookViews>
    <workbookView xWindow="0" yWindow="0" windowWidth="16380" windowHeight="8190" tabRatio="500" activeTab="2"/>
  </bookViews>
  <sheets>
    <sheet name="Worksheet" sheetId="1" r:id="rId1"/>
    <sheet name="PrintOut" sheetId="2" r:id="rId2"/>
    <sheet name="Disclaimer" sheetId="3" r:id="rId3"/>
  </sheets>
  <definedNames>
    <definedName name="_xlnm.Print_Area" localSheetId="1">PrintOut!$A$1:$C$44</definedName>
    <definedName name="_xlnm.Print_Area" localSheetId="0">Worksheet!$A$1:$C$62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5" i="1" l="1"/>
  <c r="A18" i="1" s="1"/>
  <c r="A14" i="2" s="1"/>
  <c r="B12" i="2"/>
  <c r="B5" i="2"/>
  <c r="B3" i="2"/>
  <c r="J34" i="1"/>
  <c r="J35" i="1" s="1"/>
  <c r="AH26" i="1"/>
  <c r="AI26" i="1" s="1"/>
  <c r="AH25" i="1"/>
  <c r="AI25" i="1" s="1"/>
  <c r="AH24" i="1"/>
  <c r="AI24" i="1" s="1"/>
  <c r="AK17" i="1"/>
  <c r="O17" i="1"/>
  <c r="AK16" i="1"/>
  <c r="AK11" i="1"/>
  <c r="AK10" i="1"/>
  <c r="AK7" i="1"/>
  <c r="AK2" i="1"/>
  <c r="AK18" i="1" s="1"/>
  <c r="AI2" i="1" l="1"/>
  <c r="AI14" i="1" s="1"/>
  <c r="C14" i="1"/>
  <c r="AI9" i="1"/>
  <c r="AH12" i="1"/>
  <c r="AI13" i="1"/>
  <c r="AH15" i="1"/>
  <c r="AI18" i="1"/>
  <c r="AK9" i="1"/>
  <c r="AI12" i="1"/>
  <c r="AK13" i="1"/>
  <c r="AI15" i="1"/>
  <c r="AI7" i="1"/>
  <c r="AK8" i="1"/>
  <c r="AH10" i="1"/>
  <c r="AI11" i="1"/>
  <c r="AK12" i="1"/>
  <c r="A14" i="1"/>
  <c r="AK14" i="1"/>
  <c r="AK15" i="1"/>
  <c r="AH16" i="1"/>
  <c r="AH17" i="1"/>
  <c r="B18" i="1"/>
  <c r="AI19" i="1"/>
  <c r="AI27" i="1"/>
  <c r="B32" i="1" s="1"/>
  <c r="B20" i="2" s="1"/>
  <c r="H38" i="1"/>
  <c r="AH9" i="1"/>
  <c r="AI10" i="1"/>
  <c r="AH13" i="1"/>
  <c r="A16" i="1"/>
  <c r="AI16" i="1"/>
  <c r="AI17" i="1"/>
  <c r="AH18" i="1"/>
  <c r="AK19" i="1"/>
  <c r="J36" i="1"/>
  <c r="J38" i="1"/>
  <c r="AH8" i="1"/>
  <c r="AI8" i="1"/>
  <c r="AH11" i="1"/>
  <c r="AH14" i="1" l="1"/>
  <c r="AK20" i="1"/>
  <c r="B14" i="2"/>
  <c r="O16" i="1"/>
  <c r="B20" i="1"/>
  <c r="B21" i="1" s="1"/>
  <c r="B36" i="1"/>
  <c r="C16" i="1"/>
  <c r="AI20" i="1"/>
  <c r="B38" i="1" l="1"/>
  <c r="B24" i="2"/>
  <c r="B37" i="1"/>
  <c r="B25" i="2" s="1"/>
  <c r="B45" i="1"/>
  <c r="B48" i="1" s="1"/>
  <c r="B29" i="2" s="1"/>
  <c r="B53" i="1"/>
  <c r="B34" i="2" s="1"/>
  <c r="B16" i="2"/>
  <c r="B58" i="1" l="1"/>
  <c r="B39" i="2" s="1"/>
  <c r="B46" i="1"/>
  <c r="B26" i="2"/>
</calcChain>
</file>

<file path=xl/sharedStrings.xml><?xml version="1.0" encoding="utf-8"?>
<sst xmlns="http://schemas.openxmlformats.org/spreadsheetml/2006/main" count="209" uniqueCount="150">
  <si>
    <t>Sizing of Septic Tank and French Drain System</t>
  </si>
  <si>
    <t>No of Dwelling Units</t>
  </si>
  <si>
    <t>Flow from dwellings with full internal water reticulation</t>
  </si>
  <si>
    <r>
      <rPr>
        <sz val="10"/>
        <rFont val="Arial"/>
        <family val="2"/>
      </rPr>
      <t xml:space="preserve">Table 3 </t>
    </r>
    <r>
      <rPr>
        <sz val="10"/>
        <rFont val="Arial-BoldMT"/>
        <family val="2"/>
      </rPr>
      <t>― Rates of application</t>
    </r>
  </si>
  <si>
    <t>Interpolation of application rates</t>
  </si>
  <si>
    <t>Percolation rate</t>
  </si>
  <si>
    <t>-----</t>
  </si>
  <si>
    <t>Cleaning Frequency (Yrs)</t>
  </si>
  <si>
    <t>No.of Bedrms</t>
  </si>
  <si>
    <t>Required tank capacity to retain liquids for a period of 24 h</t>
  </si>
  <si>
    <t>(x2-x1)x(y3-y1)/(x3-x1)+y1</t>
  </si>
  <si>
    <t>x2</t>
  </si>
  <si>
    <t xml:space="preserve">OWNER : </t>
  </si>
  <si>
    <t xml:space="preserve">ADDRESS : </t>
  </si>
  <si>
    <t>min</t>
  </si>
  <si>
    <r>
      <rPr>
        <sz val="10"/>
        <rFont val="Arial"/>
        <family val="2"/>
      </rPr>
      <t>l/m</t>
    </r>
    <r>
      <rPr>
        <vertAlign val="superscript"/>
        <sz val="10"/>
        <rFont val="Arial"/>
        <family val="2"/>
      </rPr>
      <t>2</t>
    </r>
  </si>
  <si>
    <t>Septic tank sizing in accordance with D-T-S requirements of SANS 10400-P:2010</t>
  </si>
  <si>
    <t>Description</t>
  </si>
  <si>
    <t>Sewage flow</t>
  </si>
  <si>
    <t>Percolation time determined in accordance with percolation test</t>
  </si>
  <si>
    <t>Rate of application of effluent to subsoil infiltration areas</t>
  </si>
  <si>
    <t>Individual, Middle to High Income, Dwelling Units &amp; Other Buildings.</t>
  </si>
  <si>
    <t>&gt; 1</t>
  </si>
  <si>
    <t>L/d</t>
  </si>
  <si>
    <t>min (L/m2 of french drain sides)</t>
  </si>
  <si>
    <t>x1</t>
  </si>
  <si>
    <t>y1</t>
  </si>
  <si>
    <t>5&lt;x&gt;3</t>
  </si>
  <si>
    <t>Low-income group:</t>
  </si>
  <si>
    <t>y2</t>
  </si>
  <si>
    <t>6&lt;x&gt;5</t>
  </si>
  <si>
    <t>Septic Tank Sizing</t>
  </si>
  <si>
    <t>x3</t>
  </si>
  <si>
    <t>y3</t>
  </si>
  <si>
    <t>10&lt;x&gt;6</t>
  </si>
  <si>
    <t>Per person per dwelling unit, or</t>
  </si>
  <si>
    <t>11&lt;x&gt;10</t>
  </si>
  <si>
    <t>Building type</t>
  </si>
  <si>
    <t>Dwelling unit with 3 bedrooms</t>
  </si>
  <si>
    <t>Per dwelling unit</t>
  </si>
  <si>
    <t>A minimum tank size of 5,1 m3 shall be provided where the tank serves more than one dwelling house or unit.</t>
  </si>
  <si>
    <t>15&lt;x&gt;11</t>
  </si>
  <si>
    <t>Middle to upper-income groups:</t>
  </si>
  <si>
    <t>16&lt;x&gt;15</t>
  </si>
  <si>
    <t>20&lt;x&gt;16</t>
  </si>
  <si>
    <t>--- Select type of building ---</t>
  </si>
  <si>
    <t>Septic tank sizing</t>
  </si>
  <si>
    <t>21&lt;x&gt;20</t>
  </si>
  <si>
    <t>Dwelling unit with 2 bedrooms</t>
  </si>
  <si>
    <t>No.of Bedrooms</t>
  </si>
  <si>
    <t>Not permitted</t>
  </si>
  <si>
    <t>26&lt;x&gt;21</t>
  </si>
  <si>
    <t>27&lt;x&gt;26</t>
  </si>
  <si>
    <t>Dwelling unit with 4 bedrooms</t>
  </si>
  <si>
    <t>30&lt;x&gt;27</t>
  </si>
  <si>
    <t>Dwelling unit with 5 bedrooms</t>
  </si>
  <si>
    <t xml:space="preserve"> L</t>
  </si>
  <si>
    <t>Dwelling unit with 6 bedrooms</t>
  </si>
  <si>
    <t>Min. size of septic tank req’d</t>
  </si>
  <si>
    <r>
      <rPr>
        <i/>
        <sz val="8"/>
        <rFont val="Arial"/>
        <family val="2"/>
      </rPr>
      <t xml:space="preserve"> m</t>
    </r>
    <r>
      <rPr>
        <i/>
        <vertAlign val="superscript"/>
        <sz val="8"/>
        <rFont val="Arial"/>
        <family val="2"/>
      </rPr>
      <t>3</t>
    </r>
  </si>
  <si>
    <t>Boarding houses</t>
  </si>
  <si>
    <t>No. of Persons</t>
  </si>
  <si>
    <t>Hotels (No private baths)</t>
  </si>
  <si>
    <t>In-situ Percolation Test</t>
  </si>
  <si>
    <t>Hotels (With private baths)</t>
  </si>
  <si>
    <t>Application rate</t>
  </si>
  <si>
    <t>Restaurants (Toilet and kitchen waste)</t>
  </si>
  <si>
    <t>No.of Patrons</t>
  </si>
  <si>
    <t>Rate of application : effluent to soil</t>
  </si>
  <si>
    <r>
      <rPr>
        <i/>
        <sz val="8"/>
        <rFont val="Arial"/>
        <family val="2"/>
      </rPr>
      <t xml:space="preserve"> L/m</t>
    </r>
    <r>
      <rPr>
        <i/>
        <vertAlign val="superscript"/>
        <sz val="8"/>
        <rFont val="Arial"/>
        <family val="2"/>
      </rPr>
      <t>2</t>
    </r>
  </si>
  <si>
    <t>Day schools</t>
  </si>
  <si>
    <t>OR</t>
  </si>
  <si>
    <t>Offices</t>
  </si>
  <si>
    <t>No. of Persons / shift</t>
  </si>
  <si>
    <t>Rate of percolation</t>
  </si>
  <si>
    <t xml:space="preserve"> mm/hr</t>
  </si>
  <si>
    <t>Hospitals</t>
  </si>
  <si>
    <t>Industrial</t>
  </si>
  <si>
    <t>Percolation time</t>
  </si>
  <si>
    <r>
      <rPr>
        <i/>
        <sz val="10"/>
        <rFont val="Arial"/>
        <family val="2"/>
      </rPr>
      <t xml:space="preserve"> </t>
    </r>
    <r>
      <rPr>
        <i/>
        <sz val="9"/>
        <rFont val="ArialMT"/>
        <family val="2"/>
      </rPr>
      <t>min</t>
    </r>
  </si>
  <si>
    <t>Swimming baths</t>
  </si>
  <si>
    <t>Time taken in minutes for the water level to drop 25 mm during in-situ percolation test</t>
  </si>
  <si>
    <t>Motels</t>
  </si>
  <si>
    <t>No.of Beds</t>
  </si>
  <si>
    <t>Drive-in theatres</t>
  </si>
  <si>
    <t>No.of Car Spaces</t>
  </si>
  <si>
    <r>
      <rPr>
        <sz val="10"/>
        <rFont val="Arial"/>
        <family val="2"/>
      </rPr>
      <t>Design application rate (</t>
    </r>
    <r>
      <rPr>
        <i/>
        <sz val="10"/>
        <rFont val="Arial"/>
        <family val="2"/>
      </rPr>
      <t>A</t>
    </r>
    <r>
      <rPr>
        <i/>
        <vertAlign val="subscript"/>
        <sz val="10"/>
        <rFont val="Arial"/>
        <family val="2"/>
      </rPr>
      <t>rate</t>
    </r>
    <r>
      <rPr>
        <sz val="10"/>
        <rFont val="Arial"/>
        <family val="2"/>
      </rPr>
      <t>)</t>
    </r>
  </si>
  <si>
    <t>NOTE An allowance of 15 % for stormwater infiltration and other contingencies should be added to these design figures.</t>
  </si>
  <si>
    <t>French Drain Sizing</t>
  </si>
  <si>
    <t>Stormwater infiltration @ 15%</t>
  </si>
  <si>
    <r>
      <rPr>
        <sz val="10"/>
        <rFont val="Arial"/>
        <family val="2"/>
      </rPr>
      <t>Sewage flow (</t>
    </r>
    <r>
      <rPr>
        <i/>
        <sz val="10"/>
        <rFont val="Arial"/>
        <family val="2"/>
      </rPr>
      <t>SF</t>
    </r>
    <r>
      <rPr>
        <sz val="10"/>
        <rFont val="Arial"/>
        <family val="2"/>
      </rPr>
      <t>)</t>
    </r>
  </si>
  <si>
    <t xml:space="preserve"> L/d</t>
  </si>
  <si>
    <t>Total sewage flow</t>
  </si>
  <si>
    <t>&gt; 30</t>
  </si>
  <si>
    <t>15% infiltration contingencies</t>
  </si>
  <si>
    <t>Design Sewage flow</t>
  </si>
  <si>
    <t>Sewage flow per person</t>
  </si>
  <si>
    <r>
      <rPr>
        <sz val="10"/>
        <rFont val="Arial"/>
        <family val="2"/>
      </rPr>
      <t>Trench width (</t>
    </r>
    <r>
      <rPr>
        <i/>
        <sz val="10"/>
        <rFont val="Arial"/>
        <family val="2"/>
      </rPr>
      <t>W</t>
    </r>
    <r>
      <rPr>
        <sz val="10"/>
        <rFont val="Arial"/>
        <family val="2"/>
      </rPr>
      <t>)</t>
    </r>
  </si>
  <si>
    <t xml:space="preserve"> m</t>
  </si>
  <si>
    <t xml:space="preserve">Suggested width between 0.6 to 0.75 m </t>
  </si>
  <si>
    <r>
      <rPr>
        <sz val="10"/>
        <rFont val="Arial"/>
        <family val="2"/>
      </rPr>
      <t>Trench height / depth (</t>
    </r>
    <r>
      <rPr>
        <i/>
        <sz val="10"/>
        <rFont val="Arial"/>
        <family val="2"/>
      </rPr>
      <t>H</t>
    </r>
    <r>
      <rPr>
        <sz val="10"/>
        <rFont val="Arial"/>
        <family val="2"/>
      </rPr>
      <t>)</t>
    </r>
  </si>
  <si>
    <t>Not deeper than 1.8 m – french drain depth is related to depth of in-situ percolation test hole dug</t>
  </si>
  <si>
    <t>Design length of french drain</t>
  </si>
  <si>
    <r>
      <rPr>
        <i/>
        <sz val="9"/>
        <color rgb="FFA33E03"/>
        <rFont val="Arial"/>
        <family val="2"/>
      </rPr>
      <t>L = ((SF / A</t>
    </r>
    <r>
      <rPr>
        <i/>
        <vertAlign val="subscript"/>
        <sz val="9"/>
        <color rgb="FFA33E03"/>
        <rFont val="Arial"/>
        <family val="2"/>
      </rPr>
      <t>Rate</t>
    </r>
    <r>
      <rPr>
        <i/>
        <sz val="9"/>
        <color rgb="FFA33E03"/>
        <rFont val="Arial"/>
        <family val="2"/>
      </rPr>
      <t>) – (W x 2 x H)) / 2 x H</t>
    </r>
  </si>
  <si>
    <t>French drain size</t>
  </si>
  <si>
    <t>French Drain Spacing</t>
  </si>
  <si>
    <t>Min. spacing between parallel french drains</t>
  </si>
  <si>
    <t>French Drain Exclusive Area</t>
  </si>
  <si>
    <t>French drain plan surface area</t>
  </si>
  <si>
    <r>
      <rPr>
        <i/>
        <sz val="8"/>
        <rFont val="Arial"/>
        <family val="2"/>
      </rPr>
      <t xml:space="preserve"> m</t>
    </r>
    <r>
      <rPr>
        <i/>
        <vertAlign val="superscript"/>
        <sz val="8"/>
        <rFont val="Arial"/>
        <family val="2"/>
      </rPr>
      <t>2</t>
    </r>
  </si>
  <si>
    <t>Based on a required clearance of 3.0 m from all buildings and site boundaries.</t>
  </si>
  <si>
    <t>Version – 3.0</t>
  </si>
  <si>
    <t>[ This spreadsheet calculator is for use in conjunction with D-T-S requirements of SANS 10400-P ]</t>
  </si>
  <si>
    <t>Copyright © 2017 - M. Keuter - Some Rights Reserved</t>
  </si>
  <si>
    <t>Except where otherwise noted this work is licensed under Creative Commons Attribution-Noncommercial-No Derivative Works 2.5 South Africa License.</t>
  </si>
  <si>
    <t>Under this license</t>
  </si>
  <si>
    <t>You are free to:</t>
  </si>
  <si>
    <t>- Share :</t>
  </si>
  <si>
    <t>to copy, distribute and transmit the work</t>
  </si>
  <si>
    <t>( for permissions beyond the scope of this public license - contact the author )</t>
  </si>
  <si>
    <t>Under the following conditions:</t>
  </si>
  <si>
    <t>- Attribution:</t>
  </si>
  <si>
    <t>You must attribute the work in the manner specified by the author or licensor (but not in any way that suggests</t>
  </si>
  <si>
    <t>that they endorse you or your use of the work).</t>
  </si>
  <si>
    <t>- Noncommercial:</t>
  </si>
  <si>
    <t>You may not use this work for commercial purposes.</t>
  </si>
  <si>
    <t>- No Derivative Works:</t>
  </si>
  <si>
    <t>You may not alter, transform, or build upon this work.</t>
  </si>
  <si>
    <t>- For any reuse or distribution, you must make clear to others the license terms of this work.</t>
  </si>
  <si>
    <t>The best way to do this is with a link to this web page.</t>
  </si>
  <si>
    <t>- Any of the above conditions can be waived if you get permission from the copyright holder.</t>
  </si>
  <si>
    <t>- Nothing in this license impairs or restricts the author's moral rights.</t>
  </si>
  <si>
    <t>To view a copy of this license,</t>
  </si>
  <si>
    <t>visit http://creativecommons.org/licenses/by-nc-nd/2.5/za/ or</t>
  </si>
  <si>
    <t>send a letter to</t>
  </si>
  <si>
    <t>Creative Commons, 171 Second Street, Suite 300, San Francisco, California, 94105, USA.</t>
  </si>
  <si>
    <t>Creative Commons South Africa may be contacted at http://za.creativecommons.org</t>
  </si>
  <si>
    <t>Acknowledgment and Disclaimer</t>
  </si>
  <si>
    <t>The author offers all information and material AS IS and makes no other representations or warranties of any kind concerning the</t>
  </si>
  <si>
    <t>information or material, express, implied, statutory or otherwise, including, without limitation, warranties of accuracy, content,</t>
  </si>
  <si>
    <t>completeness, reliability, or the presence or absence of errors, whether or not discoverable and if the information or material includes</t>
  </si>
  <si>
    <t>software, warranties of fitness for a particular purpose. Some jurisdictions do not allow the exclusion of implied warranties, so such</t>
  </si>
  <si>
    <t>exclusion may not apply to you.</t>
  </si>
  <si>
    <t>In no event will the author be liable to you on any legal theory ( including contract, delict including negligence or gross negligence, or</t>
  </si>
  <si>
    <t>statutory claims ), for any special, incidental, consequential, punitive or exemplary damages / losses arising out of this license or the</t>
  </si>
  <si>
    <t>use of the information or material, even if the author has been advised of the possibility of such damages.</t>
  </si>
  <si>
    <t>Should any omissions or inaccuracies be identified you are requested to notify the author thereof.</t>
  </si>
  <si>
    <t>Po Box 160, Gillitts, 3603</t>
  </si>
  <si>
    <t>email: info@arcdirectory.co.za</t>
  </si>
  <si>
    <t>V.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</si>
</sst>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,,,&quot;"/>
  </numFmts>
  <fonts count="19">
    <font>
      <sz val="10"/>
      <name val="Arial"/>
      <family val="2"/>
    </font>
    <font>
      <b/>
      <sz val="14"/>
      <name val="Arial"/>
      <family val="2"/>
    </font>
    <font>
      <sz val="10"/>
      <name val="Arial-BoldMT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b/>
      <sz val="11"/>
      <name val="Arial"/>
      <family val="2"/>
    </font>
    <font>
      <i/>
      <vertAlign val="superscript"/>
      <sz val="8"/>
      <name val="Arial"/>
      <family val="2"/>
    </font>
    <font>
      <i/>
      <sz val="9"/>
      <name val="ArialMT"/>
      <family val="2"/>
    </font>
    <font>
      <i/>
      <sz val="9"/>
      <color rgb="FFA33E03"/>
      <name val="Arial"/>
      <family val="2"/>
    </font>
    <font>
      <i/>
      <vertAlign val="subscript"/>
      <sz val="10"/>
      <name val="Arial"/>
      <family val="2"/>
    </font>
    <font>
      <i/>
      <sz val="8"/>
      <color rgb="FF000000"/>
      <name val="Arial"/>
      <family val="2"/>
    </font>
    <font>
      <i/>
      <vertAlign val="subscript"/>
      <sz val="9"/>
      <color rgb="FFA33E03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4000"/>
        <bgColor rgb="FFFF0000"/>
      </patternFill>
    </fill>
    <fill>
      <patternFill patternType="solid">
        <fgColor rgb="FFE6E3D1"/>
        <bgColor rgb="FFCCFFCC"/>
      </patternFill>
    </fill>
    <fill>
      <patternFill patternType="solid">
        <fgColor rgb="FFFF0000"/>
        <bgColor rgb="FFFF4000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>
      <alignment horizontal="left" vertical="center"/>
    </xf>
    <xf numFmtId="0" fontId="18" fillId="0" borderId="0" applyBorder="0" applyProtection="0">
      <alignment horizontal="left" vertical="center"/>
    </xf>
    <xf numFmtId="0" fontId="18" fillId="2" borderId="0" applyBorder="0">
      <alignment horizontal="left" vertical="center"/>
      <protection hidden="1"/>
    </xf>
    <xf numFmtId="164" fontId="18" fillId="0" borderId="0" applyBorder="0" applyProtection="0">
      <alignment horizontal="left" vertical="center"/>
    </xf>
  </cellStyleXfs>
  <cellXfs count="82">
    <xf numFmtId="0" fontId="0" fillId="0" borderId="0" xfId="0">
      <alignment horizontal="left" vertical="center"/>
    </xf>
    <xf numFmtId="0" fontId="0" fillId="3" borderId="0" xfId="0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hidden="1"/>
    </xf>
    <xf numFmtId="0" fontId="0" fillId="0" borderId="4" xfId="0" applyFont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center" vertical="center"/>
      <protection locked="0"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alignment horizontal="left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Font="1" applyProtection="1">
      <alignment horizontal="left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0" borderId="1" xfId="0" applyFont="1" applyBorder="1" applyProtection="1">
      <alignment horizontal="left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3" fillId="3" borderId="3" xfId="0" applyFont="1" applyFill="1" applyBorder="1" applyProtection="1">
      <alignment horizontal="left" vertical="center"/>
      <protection hidden="1"/>
    </xf>
    <xf numFmtId="0" fontId="0" fillId="3" borderId="3" xfId="0" applyFill="1" applyBorder="1" applyProtection="1">
      <alignment horizontal="left" vertical="center"/>
      <protection hidden="1"/>
    </xf>
    <xf numFmtId="0" fontId="0" fillId="0" borderId="0" xfId="0" applyBorder="1" applyAlignment="1" applyProtection="1">
      <alignment horizontal="center" vertical="center"/>
      <protection locked="0"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left" vertical="center"/>
      <protection hidden="1"/>
    </xf>
    <xf numFmtId="0" fontId="0" fillId="0" borderId="4" xfId="0" applyFont="1" applyBorder="1" applyAlignment="1" applyProtection="1">
      <alignment horizontal="center" vertical="center"/>
      <protection locked="0" hidden="1"/>
    </xf>
    <xf numFmtId="0" fontId="0" fillId="0" borderId="0" xfId="0" applyFont="1" applyProtection="1">
      <alignment horizontal="left" vertical="center"/>
      <protection hidden="1"/>
    </xf>
    <xf numFmtId="0" fontId="18" fillId="0" borderId="0" xfId="2" applyFill="1" applyAlignment="1">
      <alignment horizontal="center" vertical="center"/>
      <protection hidden="1"/>
    </xf>
    <xf numFmtId="0" fontId="6" fillId="0" borderId="0" xfId="0" applyFont="1" applyProtection="1">
      <alignment horizontal="left" vertical="center"/>
      <protection hidden="1"/>
    </xf>
    <xf numFmtId="0" fontId="18" fillId="0" borderId="0" xfId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0" xfId="0" applyFont="1">
      <alignment horizontal="left" vertical="center"/>
    </xf>
    <xf numFmtId="0" fontId="0" fillId="0" borderId="0" xfId="0" applyAlignment="1" applyProtection="1">
      <alignment horizontal="left" vertical="center"/>
      <protection hidden="1"/>
    </xf>
    <xf numFmtId="0" fontId="0" fillId="3" borderId="0" xfId="0" applyFont="1" applyFill="1" applyBorder="1" applyAlignment="1" applyProtection="1">
      <alignment horizontal="center" vertical="center"/>
      <protection hidden="1"/>
    </xf>
    <xf numFmtId="0" fontId="18" fillId="0" borderId="0" xfId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2" fontId="0" fillId="0" borderId="1" xfId="0" applyNumberForma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0" fillId="0" borderId="1" xfId="0" applyBorder="1">
      <alignment horizontal="left" vertical="center"/>
    </xf>
    <xf numFmtId="0" fontId="0" fillId="0" borderId="0" xfId="0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/>
      <protection locked="0" hidden="1"/>
    </xf>
    <xf numFmtId="1" fontId="0" fillId="0" borderId="1" xfId="0" applyNumberFormat="1" applyFont="1" applyBorder="1" applyAlignment="1" applyProtection="1">
      <alignment horizontal="center"/>
      <protection hidden="1"/>
    </xf>
    <xf numFmtId="1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6" fillId="0" borderId="0" xfId="0" applyFont="1">
      <alignment horizontal="left" vertical="center"/>
    </xf>
    <xf numFmtId="0" fontId="5" fillId="0" borderId="0" xfId="0" applyFont="1" applyProtection="1">
      <alignment horizontal="left" vertical="center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0" fontId="0" fillId="0" borderId="1" xfId="0" applyFont="1" applyBorder="1" applyProtection="1">
      <alignment horizontal="left" vertical="center"/>
      <protection hidden="1"/>
    </xf>
    <xf numFmtId="0" fontId="0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Protection="1">
      <alignment horizontal="left" vertical="center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0" fontId="0" fillId="4" borderId="1" xfId="0" applyFill="1" applyBorder="1" applyProtection="1">
      <alignment horizontal="left" vertical="center"/>
      <protection hidden="1"/>
    </xf>
    <xf numFmtId="2" fontId="3" fillId="0" borderId="1" xfId="0" applyNumberFormat="1" applyFont="1" applyBorder="1" applyAlignment="1" applyProtection="1">
      <alignment horizontal="center" vertical="center"/>
      <protection locked="0" hidden="1"/>
    </xf>
    <xf numFmtId="2" fontId="3" fillId="3" borderId="0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protection hidden="1"/>
    </xf>
    <xf numFmtId="2" fontId="8" fillId="3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alignment horizontal="left"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0" fillId="0" borderId="0" xfId="0" applyBorder="1" applyProtection="1">
      <alignment horizontal="left" vertical="center"/>
      <protection hidden="1"/>
    </xf>
    <xf numFmtId="0" fontId="0" fillId="0" borderId="0" xfId="0" applyFont="1" applyBorder="1" applyProtection="1">
      <alignment horizontal="lef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left" vertical="center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1" fontId="0" fillId="0" borderId="0" xfId="0" applyNumberFormat="1" applyFont="1" applyBorder="1" applyAlignment="1" applyProtection="1">
      <alignment horizontal="center"/>
      <protection hidden="1"/>
    </xf>
    <xf numFmtId="1" fontId="0" fillId="0" borderId="0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5" fillId="0" borderId="0" xfId="0" applyFont="1">
      <alignment horizontal="left" vertical="center"/>
    </xf>
    <xf numFmtId="0" fontId="16" fillId="0" borderId="0" xfId="0" applyFont="1">
      <alignment horizontal="left" vertical="center"/>
    </xf>
    <xf numFmtId="0" fontId="17" fillId="0" borderId="0" xfId="0" applyFont="1">
      <alignment horizontal="left" vertical="center"/>
    </xf>
  </cellXfs>
  <cellStyles count="4">
    <cellStyle name="Normal" xfId="0" builtinId="0"/>
    <cellStyle name="Red" xfId="2"/>
    <cellStyle name="Untitled1" xfId="1"/>
    <cellStyle name="Untitled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3D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A33E03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86</xdr:col>
      <xdr:colOff>171720</xdr:colOff>
      <xdr:row>4</xdr:row>
      <xdr:rowOff>23040</xdr:rowOff>
    </xdr:from>
    <xdr:to>
      <xdr:col>90</xdr:col>
      <xdr:colOff>771480</xdr:colOff>
      <xdr:row>10</xdr:row>
      <xdr:rowOff>137160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34295040" y="730800"/>
          <a:ext cx="3850920" cy="1089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215280</xdr:colOff>
      <xdr:row>59</xdr:row>
      <xdr:rowOff>65160</xdr:rowOff>
    </xdr:from>
    <xdr:to>
      <xdr:col>2</xdr:col>
      <xdr:colOff>1101600</xdr:colOff>
      <xdr:row>61</xdr:row>
      <xdr:rowOff>87120</xdr:rowOff>
    </xdr:to>
    <xdr:pic>
      <xdr:nvPicPr>
        <xdr:cNvPr id="3" name="Graphics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4189680" y="9821160"/>
          <a:ext cx="886320" cy="347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40</xdr:col>
      <xdr:colOff>132480</xdr:colOff>
      <xdr:row>4</xdr:row>
      <xdr:rowOff>23040</xdr:rowOff>
    </xdr:from>
    <xdr:to>
      <xdr:col>45</xdr:col>
      <xdr:colOff>80280</xdr:colOff>
      <xdr:row>10</xdr:row>
      <xdr:rowOff>137160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35757720" y="730800"/>
          <a:ext cx="4015080" cy="1089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215280</xdr:colOff>
      <xdr:row>40</xdr:row>
      <xdr:rowOff>68040</xdr:rowOff>
    </xdr:from>
    <xdr:to>
      <xdr:col>2</xdr:col>
      <xdr:colOff>1101600</xdr:colOff>
      <xdr:row>42</xdr:row>
      <xdr:rowOff>86400</xdr:rowOff>
    </xdr:to>
    <xdr:pic>
      <xdr:nvPicPr>
        <xdr:cNvPr id="3" name="Graphics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4395960" y="6705360"/>
          <a:ext cx="886320" cy="343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9"/>
  <sheetViews>
    <sheetView topLeftCell="A7" zoomScaleNormal="100" workbookViewId="0">
      <selection activeCell="B14" sqref="B14"/>
    </sheetView>
  </sheetViews>
  <sheetFormatPr defaultColWidth="11.5703125" defaultRowHeight="12.75"/>
  <cols>
    <col min="1" max="1" width="37.28515625" style="14" customWidth="1"/>
    <col min="2" max="3" width="19.140625" style="14" customWidth="1"/>
    <col min="4" max="4" width="16.5703125" style="14" customWidth="1"/>
    <col min="5" max="5" width="3.28515625" style="14" hidden="1" customWidth="1"/>
    <col min="6" max="6" width="2.42578125" style="14" hidden="1" customWidth="1"/>
    <col min="7" max="7" width="4.42578125" style="14" hidden="1" customWidth="1"/>
    <col min="8" max="8" width="6.28515625" style="14" hidden="1" customWidth="1"/>
    <col min="9" max="9" width="29.42578125" style="14" hidden="1" customWidth="1"/>
    <col min="10" max="10" width="11.7109375" style="14" hidden="1" customWidth="1"/>
    <col min="11" max="11" width="17.5703125" style="14" hidden="1" customWidth="1"/>
    <col min="12" max="12" width="23.140625" style="14" hidden="1" customWidth="1"/>
    <col min="13" max="13" width="22" style="14" hidden="1" customWidth="1"/>
    <col min="14" max="14" width="0" style="14" hidden="1" customWidth="1"/>
    <col min="15" max="15" width="17.5703125" style="14" hidden="1" customWidth="1"/>
    <col min="16" max="23" width="5.42578125" style="14" hidden="1" customWidth="1"/>
    <col min="24" max="24" width="0" style="14" hidden="1" customWidth="1"/>
    <col min="25" max="26" width="3.5703125" style="14" hidden="1" customWidth="1"/>
    <col min="27" max="27" width="12.42578125" style="14" hidden="1" customWidth="1"/>
    <col min="28" max="28" width="4.42578125" style="14" hidden="1" customWidth="1"/>
    <col min="29" max="29" width="0" style="14" hidden="1" customWidth="1"/>
    <col min="30" max="30" width="3.5703125" style="14" hidden="1" customWidth="1"/>
    <col min="31" max="31" width="5.140625" style="14" hidden="1" customWidth="1"/>
    <col min="32" max="32" width="12.42578125" style="14" hidden="1" customWidth="1"/>
    <col min="33" max="33" width="3.5703125" style="14" hidden="1" customWidth="1"/>
    <col min="34" max="34" width="14.140625" style="14" hidden="1" customWidth="1"/>
    <col min="35" max="35" width="7" style="14" hidden="1" customWidth="1"/>
    <col min="36" max="36" width="8.7109375" style="14" hidden="1" customWidth="1"/>
    <col min="37" max="37" width="14.140625" style="14" hidden="1" customWidth="1"/>
    <col min="38" max="52" width="0" style="14" hidden="1" customWidth="1"/>
    <col min="53" max="64" width="11.5703125" style="14"/>
  </cols>
  <sheetData>
    <row r="1" spans="1:37" ht="18">
      <c r="A1" s="13" t="s">
        <v>0</v>
      </c>
      <c r="B1" s="13"/>
      <c r="C1" s="13"/>
      <c r="G1" s="15" t="s">
        <v>1</v>
      </c>
      <c r="I1" s="12" t="s">
        <v>2</v>
      </c>
      <c r="J1" s="12"/>
      <c r="K1" s="12"/>
      <c r="X1" s="17"/>
      <c r="Y1" s="11" t="s">
        <v>3</v>
      </c>
      <c r="Z1" s="11"/>
      <c r="AA1" s="11"/>
      <c r="AB1" s="11"/>
      <c r="AD1" s="17"/>
      <c r="AE1" s="17"/>
      <c r="AF1" s="17"/>
      <c r="AG1" s="17"/>
      <c r="AH1" s="11" t="s">
        <v>4</v>
      </c>
      <c r="AI1" s="11"/>
      <c r="AJ1" s="11"/>
      <c r="AK1" s="17" t="s">
        <v>5</v>
      </c>
    </row>
    <row r="2" spans="1:37">
      <c r="G2" s="15" t="s">
        <v>6</v>
      </c>
      <c r="I2" s="15">
        <v>1</v>
      </c>
      <c r="J2" s="15">
        <v>2</v>
      </c>
      <c r="K2" s="15"/>
      <c r="M2" s="19" t="s">
        <v>7</v>
      </c>
      <c r="O2" s="15" t="s">
        <v>8</v>
      </c>
      <c r="P2" s="10" t="s">
        <v>9</v>
      </c>
      <c r="Q2" s="10"/>
      <c r="R2" s="10"/>
      <c r="S2" s="10"/>
      <c r="T2" s="10"/>
      <c r="U2" s="10"/>
      <c r="V2" s="10"/>
      <c r="W2" s="10"/>
      <c r="X2" s="17"/>
      <c r="Y2" s="10">
        <v>1</v>
      </c>
      <c r="Z2" s="10"/>
      <c r="AA2" s="10">
        <v>2</v>
      </c>
      <c r="AB2" s="10"/>
      <c r="AE2" s="18" t="s">
        <v>10</v>
      </c>
      <c r="AF2"/>
      <c r="AH2" s="18" t="s">
        <v>11</v>
      </c>
      <c r="AI2" s="20">
        <f>IF(AH24&lt;&gt;0,AH24,IF(AH25&lt;&gt;0,AK2,IF(AH26&lt;&gt;0,AH26,0)))</f>
        <v>0</v>
      </c>
      <c r="AK2" s="15">
        <f>IF(OR(B27="",B27=0),0,ROUND((60/AH25)*25,2))</f>
        <v>0</v>
      </c>
    </row>
    <row r="3" spans="1:37">
      <c r="A3" s="21" t="s">
        <v>12</v>
      </c>
      <c r="B3" s="9"/>
      <c r="C3" s="9"/>
      <c r="G3" s="15"/>
      <c r="I3" s="15"/>
      <c r="J3" s="15"/>
      <c r="K3" s="15"/>
      <c r="M3" s="19"/>
      <c r="O3" s="15"/>
      <c r="P3" s="22"/>
      <c r="X3" s="17"/>
      <c r="Y3" s="15"/>
      <c r="Z3" s="19"/>
      <c r="AA3" s="15"/>
      <c r="AB3" s="19"/>
      <c r="AE3" s="18"/>
      <c r="AF3"/>
      <c r="AH3" s="18"/>
      <c r="AI3" s="20"/>
      <c r="AK3" s="15"/>
    </row>
    <row r="4" spans="1:37">
      <c r="A4" s="18"/>
      <c r="G4" s="15"/>
      <c r="I4" s="15"/>
      <c r="J4" s="15"/>
      <c r="K4" s="15"/>
      <c r="M4" s="19"/>
      <c r="O4" s="15"/>
      <c r="P4" s="22"/>
      <c r="X4" s="17"/>
      <c r="Y4" s="15"/>
      <c r="Z4" s="19"/>
      <c r="AA4" s="15"/>
      <c r="AB4" s="19"/>
      <c r="AE4" s="18"/>
      <c r="AF4"/>
      <c r="AH4" s="18"/>
      <c r="AI4" s="20"/>
      <c r="AK4" s="15"/>
    </row>
    <row r="5" spans="1:37">
      <c r="A5" s="21" t="s">
        <v>13</v>
      </c>
      <c r="B5" s="9"/>
      <c r="C5" s="9"/>
      <c r="G5" s="15"/>
      <c r="I5" s="15"/>
      <c r="J5" s="15"/>
      <c r="K5" s="15"/>
      <c r="M5" s="19"/>
      <c r="O5" s="15"/>
      <c r="P5" s="22"/>
      <c r="X5" s="17"/>
      <c r="Y5" s="15"/>
      <c r="Z5" s="19"/>
      <c r="AA5" s="15"/>
      <c r="AB5" s="19"/>
      <c r="AE5" s="18"/>
      <c r="AF5"/>
      <c r="AH5" s="18"/>
      <c r="AI5" s="20"/>
      <c r="AK5" s="15"/>
    </row>
    <row r="6" spans="1:37" ht="14.25">
      <c r="G6" s="15"/>
      <c r="I6" s="15"/>
      <c r="J6" s="15"/>
      <c r="K6" s="15"/>
      <c r="M6" s="19"/>
      <c r="O6" s="15"/>
      <c r="P6" s="22"/>
      <c r="X6" s="17"/>
      <c r="Y6" s="15"/>
      <c r="Z6" s="19"/>
      <c r="AA6" s="15"/>
      <c r="AB6" s="19"/>
      <c r="AE6" s="18" t="s">
        <v>14</v>
      </c>
      <c r="AF6" s="18" t="s">
        <v>15</v>
      </c>
      <c r="AI6" s="20"/>
      <c r="AK6" s="20"/>
    </row>
    <row r="7" spans="1:37" ht="12.75" customHeight="1">
      <c r="A7" s="8" t="s">
        <v>16</v>
      </c>
      <c r="B7" s="8"/>
      <c r="C7" s="8"/>
      <c r="G7" s="15">
        <v>1</v>
      </c>
      <c r="I7" s="15" t="s">
        <v>17</v>
      </c>
      <c r="J7" s="15" t="s">
        <v>18</v>
      </c>
      <c r="K7" s="15" t="s">
        <v>8</v>
      </c>
      <c r="M7" s="15" t="s">
        <v>6</v>
      </c>
      <c r="O7" s="15">
        <v>2</v>
      </c>
      <c r="P7" s="15">
        <v>1500</v>
      </c>
      <c r="Q7" s="15">
        <v>1500</v>
      </c>
      <c r="R7" s="15">
        <v>1500</v>
      </c>
      <c r="S7" s="15">
        <v>1500</v>
      </c>
      <c r="T7" s="15">
        <v>1600</v>
      </c>
      <c r="U7" s="15">
        <v>1700</v>
      </c>
      <c r="V7" s="15">
        <v>1800</v>
      </c>
      <c r="W7" s="15">
        <v>1900</v>
      </c>
      <c r="X7" s="17"/>
      <c r="Y7" s="10" t="s">
        <v>19</v>
      </c>
      <c r="Z7" s="10"/>
      <c r="AA7" s="10" t="s">
        <v>20</v>
      </c>
      <c r="AB7" s="10"/>
      <c r="AE7" s="19">
        <v>0</v>
      </c>
      <c r="AF7" s="19">
        <v>108</v>
      </c>
      <c r="AI7" s="15">
        <f>IF(AND(AI2&lt;3,AI2&gt;=0),108,0)</f>
        <v>108</v>
      </c>
      <c r="AK7" s="15">
        <f>IF(AND(AK2&lt;3,AK2&gt;=0),108,0)</f>
        <v>108</v>
      </c>
    </row>
    <row r="8" spans="1:37">
      <c r="A8" s="7" t="s">
        <v>21</v>
      </c>
      <c r="B8" s="7"/>
      <c r="C8" s="7"/>
      <c r="G8" s="15" t="s">
        <v>22</v>
      </c>
      <c r="I8" s="15"/>
      <c r="J8" s="15" t="s">
        <v>23</v>
      </c>
      <c r="K8" s="15"/>
      <c r="M8" s="15">
        <v>1</v>
      </c>
      <c r="O8" s="15">
        <v>3</v>
      </c>
      <c r="P8" s="15">
        <v>1500</v>
      </c>
      <c r="Q8" s="15">
        <v>1500</v>
      </c>
      <c r="R8" s="15">
        <v>1500</v>
      </c>
      <c r="S8" s="15">
        <v>1900</v>
      </c>
      <c r="T8" s="15">
        <v>2000</v>
      </c>
      <c r="U8" s="15">
        <v>2300</v>
      </c>
      <c r="V8" s="15">
        <v>2500</v>
      </c>
      <c r="W8" s="15">
        <v>2800</v>
      </c>
      <c r="X8" s="17"/>
      <c r="Y8" s="10"/>
      <c r="Z8" s="10"/>
      <c r="AA8" s="10" t="s">
        <v>24</v>
      </c>
      <c r="AB8" s="10"/>
      <c r="AD8" s="14" t="s">
        <v>25</v>
      </c>
      <c r="AE8" s="19">
        <v>3</v>
      </c>
      <c r="AF8" s="19">
        <v>108</v>
      </c>
      <c r="AG8" s="14" t="s">
        <v>26</v>
      </c>
      <c r="AH8" s="19">
        <f>(AI2-AE8)*(AF10-AF8)/(AE10-AE8)+AF8</f>
        <v>120</v>
      </c>
      <c r="AI8" s="15">
        <f>IF(AND(AI2&lt;=5,AI2&gt;=3),AH8,0)</f>
        <v>0</v>
      </c>
      <c r="AJ8" s="14" t="s">
        <v>27</v>
      </c>
      <c r="AK8" s="15">
        <f>IF(AND(AK2&lt;=5,AK2&gt;=3),AH8,0)</f>
        <v>0</v>
      </c>
    </row>
    <row r="9" spans="1:37">
      <c r="I9" s="23" t="s">
        <v>28</v>
      </c>
      <c r="J9" s="15"/>
      <c r="K9" s="15"/>
      <c r="M9" s="15">
        <v>2</v>
      </c>
      <c r="O9" s="15">
        <v>4</v>
      </c>
      <c r="P9" s="15">
        <v>1900</v>
      </c>
      <c r="Q9" s="15">
        <v>2000</v>
      </c>
      <c r="R9" s="15">
        <v>2100</v>
      </c>
      <c r="S9" s="15">
        <v>2300</v>
      </c>
      <c r="T9" s="15">
        <v>2600</v>
      </c>
      <c r="U9" s="15">
        <v>2900</v>
      </c>
      <c r="V9" s="15">
        <v>3200</v>
      </c>
      <c r="W9" s="15">
        <v>3600</v>
      </c>
      <c r="X9" s="17"/>
      <c r="Y9" s="15">
        <v>0</v>
      </c>
      <c r="Z9" s="15">
        <v>3</v>
      </c>
      <c r="AA9" s="15">
        <v>108</v>
      </c>
      <c r="AB9" s="15"/>
      <c r="AD9" s="14" t="s">
        <v>11</v>
      </c>
      <c r="AE9" s="19">
        <v>4</v>
      </c>
      <c r="AF9" s="19">
        <v>104</v>
      </c>
      <c r="AG9" s="14" t="s">
        <v>29</v>
      </c>
      <c r="AH9" s="19">
        <f>(AI2-AE10)*(AF11-AF10)/(AE11-AE10)+AF10</f>
        <v>105</v>
      </c>
      <c r="AI9" s="15">
        <f>IF(AND(AI2&lt;=6,AI2&gt;5),AH9,0)</f>
        <v>0</v>
      </c>
      <c r="AJ9" s="14" t="s">
        <v>30</v>
      </c>
      <c r="AK9" s="15">
        <f>IF(AND(AK2&lt;=6,AK2&gt;5),AH9,0)</f>
        <v>0</v>
      </c>
    </row>
    <row r="10" spans="1:37">
      <c r="A10" s="24" t="s">
        <v>31</v>
      </c>
      <c r="B10" s="25"/>
      <c r="C10" s="25"/>
      <c r="G10" s="26"/>
      <c r="I10" s="19" t="s">
        <v>6</v>
      </c>
      <c r="J10" s="19" t="s">
        <v>6</v>
      </c>
      <c r="K10" s="19"/>
      <c r="M10" s="15">
        <v>3</v>
      </c>
      <c r="O10" s="15">
        <v>5</v>
      </c>
      <c r="P10" s="15">
        <v>2400</v>
      </c>
      <c r="Q10" s="15">
        <v>2500</v>
      </c>
      <c r="R10" s="15">
        <v>2600</v>
      </c>
      <c r="S10" s="15">
        <v>2900</v>
      </c>
      <c r="T10" s="15">
        <v>3200</v>
      </c>
      <c r="U10" s="15">
        <v>3600</v>
      </c>
      <c r="V10" s="15">
        <v>4000</v>
      </c>
      <c r="W10" s="15">
        <v>4500</v>
      </c>
      <c r="X10" s="17"/>
      <c r="Y10" s="15">
        <v>3</v>
      </c>
      <c r="Z10" s="15">
        <v>5</v>
      </c>
      <c r="AA10" s="15">
        <v>108</v>
      </c>
      <c r="AB10" s="15">
        <v>100</v>
      </c>
      <c r="AD10" s="14" t="s">
        <v>32</v>
      </c>
      <c r="AE10" s="19">
        <v>5</v>
      </c>
      <c r="AF10" s="19">
        <v>100</v>
      </c>
      <c r="AG10" s="14" t="s">
        <v>33</v>
      </c>
      <c r="AH10" s="19">
        <f>(AI2-AE11)*(AF15-AF11)/(AE15-AE11)+AF11</f>
        <v>127.5</v>
      </c>
      <c r="AI10" s="27">
        <f>IF(AND(AI2&lt;=10,AI2&gt;6),AH10,0)</f>
        <v>0</v>
      </c>
      <c r="AJ10" s="14" t="s">
        <v>34</v>
      </c>
      <c r="AK10" s="27">
        <f>IF(AND(AK2&lt;=10,AK2&gt;6),AH10,0)</f>
        <v>0</v>
      </c>
    </row>
    <row r="11" spans="1:37">
      <c r="I11" s="28" t="s">
        <v>35</v>
      </c>
      <c r="J11" s="15">
        <v>70</v>
      </c>
      <c r="K11" s="15"/>
      <c r="M11" s="15">
        <v>4</v>
      </c>
      <c r="O11" s="15">
        <v>6</v>
      </c>
      <c r="P11" s="15">
        <v>2700</v>
      </c>
      <c r="Q11" s="15">
        <v>2800</v>
      </c>
      <c r="R11" s="15">
        <v>3000</v>
      </c>
      <c r="S11" s="15">
        <v>3300</v>
      </c>
      <c r="T11" s="15">
        <v>3700</v>
      </c>
      <c r="U11" s="15">
        <v>4100</v>
      </c>
      <c r="V11" s="15">
        <v>4600</v>
      </c>
      <c r="W11" s="15">
        <v>5300</v>
      </c>
      <c r="X11" s="17"/>
      <c r="Y11" s="15">
        <v>6</v>
      </c>
      <c r="Z11" s="15">
        <v>10</v>
      </c>
      <c r="AA11" s="15">
        <v>99</v>
      </c>
      <c r="AB11" s="15">
        <v>80</v>
      </c>
      <c r="AE11" s="19">
        <v>6</v>
      </c>
      <c r="AF11" s="19">
        <v>99</v>
      </c>
      <c r="AH11" s="19">
        <f>(AI2-AE15)*(AF16-AF15)/(AE16-AE15)+AF15</f>
        <v>90</v>
      </c>
      <c r="AI11" s="15">
        <f>IF(AND(AI2&lt;=11,AI2&gt;10),AH11,0)</f>
        <v>0</v>
      </c>
      <c r="AJ11" s="14" t="s">
        <v>36</v>
      </c>
      <c r="AK11" s="15">
        <f>IF(AND(AK2&lt;=11,AK2&gt;10),AH11,0)</f>
        <v>0</v>
      </c>
    </row>
    <row r="12" spans="1:37">
      <c r="A12" s="14" t="s">
        <v>37</v>
      </c>
      <c r="B12" s="6" t="s">
        <v>48</v>
      </c>
      <c r="C12" s="6"/>
      <c r="I12" s="28" t="s">
        <v>39</v>
      </c>
      <c r="J12" s="15">
        <v>500</v>
      </c>
      <c r="K12" s="15"/>
      <c r="M12" s="15">
        <v>5</v>
      </c>
      <c r="O12" s="14" t="s">
        <v>40</v>
      </c>
      <c r="X12" s="17"/>
      <c r="Y12" s="15">
        <v>11</v>
      </c>
      <c r="Z12" s="15">
        <v>15</v>
      </c>
      <c r="AA12" s="15">
        <v>79</v>
      </c>
      <c r="AB12" s="15">
        <v>65</v>
      </c>
      <c r="AE12" s="19">
        <v>7</v>
      </c>
      <c r="AF12" s="19">
        <v>94.25</v>
      </c>
      <c r="AH12" s="19">
        <f>(AI2-AE16)*(AF20-AF16)/(AE20-AE16)+AF16</f>
        <v>117.5</v>
      </c>
      <c r="AI12" s="27">
        <f>IF(AND(AI2&lt;=15,AI2&gt;11),AH12,0)</f>
        <v>0</v>
      </c>
      <c r="AJ12" s="14" t="s">
        <v>41</v>
      </c>
      <c r="AK12" s="27">
        <f>IF(AND(AK2&lt;=15,AK2&gt;11),AH12,0)</f>
        <v>0</v>
      </c>
    </row>
    <row r="13" spans="1:37">
      <c r="I13" s="23" t="s">
        <v>42</v>
      </c>
      <c r="J13" s="15"/>
      <c r="K13" s="15"/>
      <c r="M13" s="15">
        <v>6</v>
      </c>
      <c r="X13" s="17"/>
      <c r="Y13" s="15">
        <v>16</v>
      </c>
      <c r="Z13" s="15">
        <v>20</v>
      </c>
      <c r="AA13" s="15">
        <v>64</v>
      </c>
      <c r="AB13" s="15">
        <v>53</v>
      </c>
      <c r="AE13" s="19">
        <v>8</v>
      </c>
      <c r="AF13" s="19">
        <v>89.5</v>
      </c>
      <c r="AH13" s="19">
        <f>(AI2-AE20)*(AF21-AF20)/(AE21-AE20)+AF20</f>
        <v>80</v>
      </c>
      <c r="AI13" s="15">
        <f>IF(AND(AI2&lt;=16,AI2&gt;15),AH13,0)</f>
        <v>0</v>
      </c>
      <c r="AJ13" s="14" t="s">
        <v>43</v>
      </c>
      <c r="AK13" s="15">
        <f>IF(AND(AK2&lt;=16,AK2&gt;15),AH13,0)</f>
        <v>0</v>
      </c>
    </row>
    <row r="14" spans="1:37">
      <c r="A14" s="30" t="str">
        <f>IF(OR(H15=K15,H15=0),"","Septic tank cleaning frequency (Dwellings)")</f>
        <v>Septic tank cleaning frequency (Dwellings)</v>
      </c>
      <c r="B14" s="29" t="s">
        <v>6</v>
      </c>
      <c r="C14" t="str">
        <f>IF(OR(H15=K15,H15=0),""," Yrs")</f>
        <v xml:space="preserve"> Yrs</v>
      </c>
      <c r="H14" s="31"/>
      <c r="I14" s="28" t="s">
        <v>35</v>
      </c>
      <c r="J14" s="15">
        <v>160</v>
      </c>
      <c r="K14" s="15"/>
      <c r="M14" s="15">
        <v>7</v>
      </c>
      <c r="X14" s="17"/>
      <c r="Y14" s="15">
        <v>21</v>
      </c>
      <c r="Z14" s="15">
        <v>26</v>
      </c>
      <c r="AA14" s="15">
        <v>52</v>
      </c>
      <c r="AB14" s="15">
        <v>40</v>
      </c>
      <c r="AE14" s="19">
        <v>9</v>
      </c>
      <c r="AF14" s="19">
        <v>84.75</v>
      </c>
      <c r="AH14" s="19">
        <f>(AI2-AE21)*(AF25-AF21)/(AE25-AE21)+AF21</f>
        <v>108</v>
      </c>
      <c r="AI14" s="27">
        <f>IF(AND(AI2&lt;=20,AI2&gt;16),AH14,0)</f>
        <v>0</v>
      </c>
      <c r="AJ14" s="14" t="s">
        <v>44</v>
      </c>
      <c r="AK14" s="27">
        <f>IF(AND(AK2&lt;=20,AK2&gt;16),AH14,0)</f>
        <v>0</v>
      </c>
    </row>
    <row r="15" spans="1:37">
      <c r="A15" s="30"/>
      <c r="B15" s="26"/>
      <c r="C15" s="32"/>
      <c r="D15" s="33"/>
      <c r="H15" s="15">
        <f>INDEX(I15:L31,MATCH(B12,I15:I31,0),3)</f>
        <v>2</v>
      </c>
      <c r="I15" s="19" t="s">
        <v>45</v>
      </c>
      <c r="J15" s="15" t="s">
        <v>6</v>
      </c>
      <c r="K15" s="15" t="s">
        <v>6</v>
      </c>
      <c r="L15" s="15" t="s">
        <v>6</v>
      </c>
      <c r="M15" s="15">
        <v>8</v>
      </c>
      <c r="O15" s="19" t="s">
        <v>46</v>
      </c>
      <c r="X15" s="17"/>
      <c r="Y15" s="15">
        <v>27</v>
      </c>
      <c r="Z15" s="15">
        <v>30</v>
      </c>
      <c r="AA15" s="15">
        <v>39</v>
      </c>
      <c r="AB15" s="15">
        <v>33</v>
      </c>
      <c r="AE15" s="19">
        <v>10</v>
      </c>
      <c r="AF15" s="19">
        <v>80</v>
      </c>
      <c r="AH15" s="19">
        <f>(AI2-AE25)*(AF26-AF25)/(AE26-AE25)+AF25</f>
        <v>73</v>
      </c>
      <c r="AI15" s="15">
        <f>IF(AND(AI2&lt;=21,AI2&gt;20),AH15,0)</f>
        <v>0</v>
      </c>
      <c r="AJ15" s="14" t="s">
        <v>47</v>
      </c>
      <c r="AK15" s="15">
        <f>IF(AND(AK2&lt;=21,AK2&gt;20),AH15,0)</f>
        <v>0</v>
      </c>
    </row>
    <row r="16" spans="1:37">
      <c r="A16" s="30" t="str">
        <f>IF(OR(H15=K15,H15&lt;&gt;0),"",VLOOKUP(B12,I15:L31,4,))</f>
        <v/>
      </c>
      <c r="B16" s="34"/>
      <c r="C16" s="35" t="str">
        <f>IF(A16="",""," Data entry req’d")</f>
        <v/>
      </c>
      <c r="I16" s="28" t="s">
        <v>48</v>
      </c>
      <c r="J16" s="15">
        <v>750</v>
      </c>
      <c r="K16" s="15">
        <v>2</v>
      </c>
      <c r="L16" s="15" t="s">
        <v>49</v>
      </c>
      <c r="O16" s="15">
        <f>IF(OR(B12=I15,B14=M7),0,VLOOKUP(B18,O7:W11,B14+1,))</f>
        <v>0</v>
      </c>
      <c r="X16" s="17"/>
      <c r="Y16" s="15">
        <v>30</v>
      </c>
      <c r="Z16" s="15"/>
      <c r="AA16" s="15" t="s">
        <v>50</v>
      </c>
      <c r="AB16" s="15"/>
      <c r="AE16" s="19">
        <v>11</v>
      </c>
      <c r="AF16" s="19">
        <v>79</v>
      </c>
      <c r="AH16" s="19">
        <f>(AI2-AE26)*(AF31-AF26)/(AE31-AE26)+AF26</f>
        <v>102.4</v>
      </c>
      <c r="AI16" s="27">
        <f>IF(AND(AI2&lt;=26,AI2&gt;21),AH16,0)</f>
        <v>0</v>
      </c>
      <c r="AJ16" s="14" t="s">
        <v>51</v>
      </c>
      <c r="AK16" s="27">
        <f>IF(AND(AK2&lt;=26,AK2&gt;21),AH16,0)</f>
        <v>0</v>
      </c>
    </row>
    <row r="17" spans="1:37">
      <c r="I17" s="28" t="s">
        <v>38</v>
      </c>
      <c r="J17" s="15">
        <v>900</v>
      </c>
      <c r="K17" s="15">
        <v>3</v>
      </c>
      <c r="L17" s="15" t="s">
        <v>49</v>
      </c>
      <c r="O17" s="18">
        <f>IF(OR(B12=I15,B14=M7),0,1)</f>
        <v>0</v>
      </c>
      <c r="X17" s="17"/>
      <c r="Y17" s="17"/>
      <c r="AE17" s="19">
        <v>12</v>
      </c>
      <c r="AF17" s="19">
        <v>75.5</v>
      </c>
      <c r="AH17" s="19">
        <f>(AI2-AE31)*(AF32-AF31)/(AE32-AE31)+AF31</f>
        <v>66</v>
      </c>
      <c r="AI17" s="15">
        <f>IF(AND(AI2&lt;=27,AI2&gt;26),AH17,0)</f>
        <v>0</v>
      </c>
      <c r="AJ17" s="14" t="s">
        <v>52</v>
      </c>
      <c r="AK17" s="15">
        <f>IF(AND(AK2&lt;=27,AK2&gt;26),AH17,0)</f>
        <v>0</v>
      </c>
    </row>
    <row r="18" spans="1:37">
      <c r="A18" s="36" t="str">
        <f>IF(H15=K15,"",VLOOKUP(B12,I15:L31,4,))</f>
        <v>No.of Bedrooms</v>
      </c>
      <c r="B18" s="37">
        <f>IF(H15=0,B16,H15)</f>
        <v>2</v>
      </c>
      <c r="I18" s="28" t="s">
        <v>53</v>
      </c>
      <c r="J18" s="15">
        <v>1100</v>
      </c>
      <c r="K18" s="15">
        <v>4</v>
      </c>
      <c r="L18" s="15" t="s">
        <v>49</v>
      </c>
      <c r="X18" s="17"/>
      <c r="Y18" s="17"/>
      <c r="AE18" s="19">
        <v>13</v>
      </c>
      <c r="AF18" s="19">
        <v>72</v>
      </c>
      <c r="AH18" s="19">
        <f>(AI2-AE32)*(AF35-AF32)/(AE35-AE32)+AF32</f>
        <v>93</v>
      </c>
      <c r="AI18" s="15">
        <f>IF(AND(AI2&lt;=30,AI2&gt;27),AH18,0)</f>
        <v>0</v>
      </c>
      <c r="AJ18" s="14" t="s">
        <v>54</v>
      </c>
      <c r="AK18" s="15">
        <f>IF(AND(AK2&lt;=30,AK2&gt;27),AH18,0)</f>
        <v>0</v>
      </c>
    </row>
    <row r="19" spans="1:37">
      <c r="E19" s="38"/>
      <c r="I19" s="28" t="s">
        <v>55</v>
      </c>
      <c r="J19" s="15">
        <v>1400</v>
      </c>
      <c r="K19" s="15">
        <v>5</v>
      </c>
      <c r="L19" s="15" t="s">
        <v>49</v>
      </c>
      <c r="AE19" s="19">
        <v>14</v>
      </c>
      <c r="AF19" s="19">
        <v>68.5</v>
      </c>
      <c r="AI19" s="20">
        <f>IF(OR(AI2&gt;30,AI2&lt;0),AF36,0)</f>
        <v>0</v>
      </c>
      <c r="AK19" s="20">
        <f>IF(OR(AK2&gt;30,AK2&lt;0),AF36,0)</f>
        <v>0</v>
      </c>
    </row>
    <row r="20" spans="1:37" ht="15">
      <c r="A20" s="39"/>
      <c r="B20" s="37">
        <f>IF(AND(OR(B12=I15,B14=M7),A16=""),0,IF(A16&lt;&gt;"",3*VLOOKUP(B12,I15:J31,2,)*B16,VLOOKUP(B18,O7:W11,B14+1,)))</f>
        <v>0</v>
      </c>
      <c r="C20" s="32" t="s">
        <v>56</v>
      </c>
      <c r="I20" s="28" t="s">
        <v>57</v>
      </c>
      <c r="J20" s="15">
        <v>1600</v>
      </c>
      <c r="K20" s="15">
        <v>6</v>
      </c>
      <c r="L20" s="15" t="s">
        <v>49</v>
      </c>
      <c r="AE20" s="19">
        <v>15</v>
      </c>
      <c r="AF20" s="19">
        <v>65</v>
      </c>
      <c r="AI20" s="40">
        <f>IF(AI19=AF36,AF36,SUM(AI7:AI18))</f>
        <v>108</v>
      </c>
      <c r="AK20" s="40">
        <f>IF(AK19=AF36,AF36,SUM(AK7:AK18))</f>
        <v>108</v>
      </c>
    </row>
    <row r="21" spans="1:37" ht="15">
      <c r="A21" s="41" t="s">
        <v>58</v>
      </c>
      <c r="B21" s="42">
        <f>IF(B20=0,0,IF(AND(A16&lt;&gt;"",B20&lt;=5100),5.1,B20/1000))</f>
        <v>0</v>
      </c>
      <c r="C21" s="32" t="s">
        <v>59</v>
      </c>
      <c r="I21" s="28" t="s">
        <v>60</v>
      </c>
      <c r="J21" s="15">
        <v>110</v>
      </c>
      <c r="K21" s="43"/>
      <c r="L21" s="15" t="s">
        <v>61</v>
      </c>
      <c r="AE21" s="19">
        <v>16</v>
      </c>
      <c r="AF21" s="19">
        <v>64</v>
      </c>
    </row>
    <row r="22" spans="1:37">
      <c r="I22" s="28" t="s">
        <v>62</v>
      </c>
      <c r="J22" s="15">
        <v>110</v>
      </c>
      <c r="K22" s="43"/>
      <c r="L22" s="15" t="s">
        <v>61</v>
      </c>
      <c r="AE22" s="19">
        <v>17</v>
      </c>
      <c r="AF22" s="19">
        <v>61.25</v>
      </c>
    </row>
    <row r="23" spans="1:37">
      <c r="A23" s="24" t="s">
        <v>63</v>
      </c>
      <c r="B23" s="25"/>
      <c r="C23" s="25"/>
      <c r="I23" s="28" t="s">
        <v>64</v>
      </c>
      <c r="J23" s="15">
        <v>140</v>
      </c>
      <c r="K23" s="43"/>
      <c r="L23" s="15" t="s">
        <v>61</v>
      </c>
      <c r="AE23" s="19">
        <v>18</v>
      </c>
      <c r="AF23" s="19">
        <v>58.5</v>
      </c>
      <c r="AH23" s="14" t="s">
        <v>65</v>
      </c>
    </row>
    <row r="24" spans="1:37">
      <c r="B24" s="44"/>
      <c r="C24" s="45"/>
      <c r="I24" s="28" t="s">
        <v>66</v>
      </c>
      <c r="J24" s="15">
        <v>20</v>
      </c>
      <c r="K24" s="43"/>
      <c r="L24" s="15" t="s">
        <v>67</v>
      </c>
      <c r="AE24" s="19">
        <v>19</v>
      </c>
      <c r="AF24" s="19">
        <v>55.75</v>
      </c>
      <c r="AH24" s="46">
        <f>IF(OR(B25="",B25=0),0,B25)</f>
        <v>0</v>
      </c>
      <c r="AI24" s="47">
        <f>IF(AH24=0,0,IF(OR(AH24&gt;AF7,AH24&lt;AF35),AF36,AH24))</f>
        <v>0</v>
      </c>
    </row>
    <row r="25" spans="1:37">
      <c r="A25" s="17" t="s">
        <v>68</v>
      </c>
      <c r="B25" s="48"/>
      <c r="C25" s="32" t="s">
        <v>69</v>
      </c>
      <c r="I25" s="28" t="s">
        <v>70</v>
      </c>
      <c r="J25" s="15">
        <v>37</v>
      </c>
      <c r="K25" s="43"/>
      <c r="L25" s="15" t="s">
        <v>61</v>
      </c>
      <c r="AE25" s="19">
        <v>20</v>
      </c>
      <c r="AF25" s="19">
        <v>53</v>
      </c>
      <c r="AH25" s="46">
        <f>IF(OR(B27="",B27=0),0,B27)</f>
        <v>0</v>
      </c>
      <c r="AI25" s="49">
        <f>IF(AH25=0,0,IF(OR(AI2&gt;AE35,AI2&lt;AE7),AF36,AK20))</f>
        <v>0</v>
      </c>
    </row>
    <row r="26" spans="1:37">
      <c r="A26" s="21" t="s">
        <v>71</v>
      </c>
      <c r="I26" s="28" t="s">
        <v>72</v>
      </c>
      <c r="J26" s="15">
        <v>90</v>
      </c>
      <c r="K26" s="43"/>
      <c r="L26" s="15" t="s">
        <v>73</v>
      </c>
      <c r="AE26" s="19">
        <v>21</v>
      </c>
      <c r="AF26" s="19">
        <v>52</v>
      </c>
      <c r="AH26" s="46">
        <f>IF(OR(B29="",B29=0),0,B29)</f>
        <v>0</v>
      </c>
      <c r="AI26" s="50">
        <f>IF(AH26=0,0,IF(OR(AH26&lt;AE7,AH26&gt;AE35),AF36,AI20))</f>
        <v>0</v>
      </c>
    </row>
    <row r="27" spans="1:37">
      <c r="A27" t="s">
        <v>74</v>
      </c>
      <c r="B27" s="51"/>
      <c r="C27" s="52" t="s">
        <v>75</v>
      </c>
      <c r="I27" s="28" t="s">
        <v>76</v>
      </c>
      <c r="J27" s="15">
        <v>500</v>
      </c>
      <c r="K27" s="43"/>
      <c r="L27" s="15" t="s">
        <v>61</v>
      </c>
      <c r="AE27" s="19">
        <v>22</v>
      </c>
      <c r="AF27" s="19">
        <v>49.6</v>
      </c>
      <c r="AI27" s="50">
        <f>IF(AND(AH24=0,AH25=0),AI26,IF(AND(AH24=0,AH26=0),AI25,IF(AND(AH25=0,AH26=0),AI24,"Single Entry Req'd")))</f>
        <v>0</v>
      </c>
    </row>
    <row r="28" spans="1:37">
      <c r="A28" s="21" t="s">
        <v>71</v>
      </c>
      <c r="B28"/>
      <c r="C28"/>
      <c r="I28" s="28" t="s">
        <v>77</v>
      </c>
      <c r="J28" s="15">
        <v>140</v>
      </c>
      <c r="K28" s="43"/>
      <c r="L28" s="15" t="s">
        <v>73</v>
      </c>
      <c r="AE28" s="19">
        <v>23</v>
      </c>
      <c r="AF28" s="19">
        <v>47.2</v>
      </c>
    </row>
    <row r="29" spans="1:37">
      <c r="A29" s="14" t="s">
        <v>78</v>
      </c>
      <c r="B29" s="48"/>
      <c r="C29" s="53" t="s">
        <v>79</v>
      </c>
      <c r="I29" s="28" t="s">
        <v>80</v>
      </c>
      <c r="J29" s="15">
        <v>9</v>
      </c>
      <c r="K29" s="43"/>
      <c r="L29" s="15" t="s">
        <v>61</v>
      </c>
      <c r="AE29" s="19">
        <v>24</v>
      </c>
      <c r="AF29" s="19">
        <v>44.8</v>
      </c>
    </row>
    <row r="30" spans="1:37">
      <c r="A30" s="5" t="s">
        <v>81</v>
      </c>
      <c r="B30" s="5"/>
      <c r="C30" s="5"/>
      <c r="I30" s="28" t="s">
        <v>82</v>
      </c>
      <c r="J30" s="15">
        <v>90</v>
      </c>
      <c r="K30" s="43"/>
      <c r="L30" s="15" t="s">
        <v>83</v>
      </c>
      <c r="AE30" s="19">
        <v>25</v>
      </c>
      <c r="AF30" s="19">
        <v>42.4</v>
      </c>
    </row>
    <row r="31" spans="1:37">
      <c r="I31" s="28" t="s">
        <v>84</v>
      </c>
      <c r="J31" s="15">
        <v>9</v>
      </c>
      <c r="K31" s="43"/>
      <c r="L31" s="15" t="s">
        <v>85</v>
      </c>
      <c r="AE31" s="19">
        <v>26</v>
      </c>
      <c r="AF31" s="19">
        <v>40</v>
      </c>
    </row>
    <row r="32" spans="1:37" ht="15.75">
      <c r="A32" s="14" t="s">
        <v>86</v>
      </c>
      <c r="B32" s="54">
        <f>AI27</f>
        <v>0</v>
      </c>
      <c r="C32" s="32" t="s">
        <v>69</v>
      </c>
      <c r="I32" s="10" t="s">
        <v>87</v>
      </c>
      <c r="J32" s="10"/>
      <c r="K32" s="10"/>
      <c r="AE32" s="19">
        <v>27</v>
      </c>
      <c r="AF32" s="19">
        <v>39</v>
      </c>
    </row>
    <row r="33" spans="1:32">
      <c r="AE33" s="19">
        <v>28</v>
      </c>
      <c r="AF33" s="19">
        <v>37</v>
      </c>
    </row>
    <row r="34" spans="1:32">
      <c r="A34" s="24" t="s">
        <v>88</v>
      </c>
      <c r="B34" s="25"/>
      <c r="C34" s="25"/>
      <c r="I34" s="19" t="s">
        <v>18</v>
      </c>
      <c r="J34" s="55">
        <f>VLOOKUP(B12,I15:L31,2,)</f>
        <v>750</v>
      </c>
      <c r="AE34" s="19">
        <v>29</v>
      </c>
      <c r="AF34" s="19">
        <v>35</v>
      </c>
    </row>
    <row r="35" spans="1:32">
      <c r="I35" s="19" t="s">
        <v>89</v>
      </c>
      <c r="J35" s="19">
        <f>J34*15/100</f>
        <v>112.5</v>
      </c>
      <c r="AE35" s="19">
        <v>30</v>
      </c>
      <c r="AF35" s="19">
        <v>33</v>
      </c>
    </row>
    <row r="36" spans="1:32">
      <c r="A36" s="56" t="s">
        <v>90</v>
      </c>
      <c r="B36" s="54">
        <f>IF(A16="",VLOOKUP(B12,I15:J31,2,),VLOOKUP(B12,I15:J31,2,)*B16)</f>
        <v>750</v>
      </c>
      <c r="C36" s="57" t="s">
        <v>91</v>
      </c>
      <c r="I36" s="19" t="s">
        <v>92</v>
      </c>
      <c r="J36" s="19">
        <f>J34+(J34*15/100)</f>
        <v>862.5</v>
      </c>
      <c r="AE36" s="19" t="s">
        <v>93</v>
      </c>
      <c r="AF36" s="19" t="s">
        <v>50</v>
      </c>
    </row>
    <row r="37" spans="1:32">
      <c r="A37" s="14" t="s">
        <v>94</v>
      </c>
      <c r="B37" s="58">
        <f>IF(OR(B12=I15,B36=J15),0,B36*15/100)</f>
        <v>112.5</v>
      </c>
      <c r="C37" s="57" t="s">
        <v>91</v>
      </c>
    </row>
    <row r="38" spans="1:32">
      <c r="A38" s="14" t="s">
        <v>95</v>
      </c>
      <c r="B38" s="37">
        <f>IF(OR(B12=I15,B36=J15),0,B36+B36*15/100)</f>
        <v>862.5</v>
      </c>
      <c r="C38" s="57" t="s">
        <v>91</v>
      </c>
      <c r="H38" s="20">
        <f>IF(OR(H15=G2,H15=0),B18,B18*2)</f>
        <v>4</v>
      </c>
      <c r="I38" s="19" t="s">
        <v>96</v>
      </c>
      <c r="J38" s="59">
        <f>IF(OR(H15=G2,H15=0),VLOOKUP(B12,I21:J31,2,)*H38,H38*J14)</f>
        <v>640</v>
      </c>
    </row>
    <row r="40" spans="1:32">
      <c r="A40" s="14" t="s">
        <v>97</v>
      </c>
      <c r="B40" s="60"/>
      <c r="C40" s="32" t="s">
        <v>98</v>
      </c>
    </row>
    <row r="41" spans="1:32">
      <c r="A41" s="5" t="s">
        <v>99</v>
      </c>
      <c r="B41" s="5"/>
      <c r="C41" s="5"/>
    </row>
    <row r="43" spans="1:32">
      <c r="A43" s="14" t="s">
        <v>100</v>
      </c>
      <c r="B43" s="60"/>
      <c r="C43" s="32" t="s">
        <v>98</v>
      </c>
    </row>
    <row r="44" spans="1:32">
      <c r="A44" s="5" t="s">
        <v>101</v>
      </c>
      <c r="B44" s="5"/>
      <c r="C44" s="5"/>
    </row>
    <row r="45" spans="1:32">
      <c r="A45" s="14" t="s">
        <v>102</v>
      </c>
      <c r="B45" s="61">
        <f>IF(OR(B21=0,B32=0),0,IF(OR(B40="",B43=""),0,IF(OR(B40=0,B43=0),0,(((B38/B32)-(B40*2*B43))/(B43*2)))))</f>
        <v>0</v>
      </c>
      <c r="C45" s="32" t="s">
        <v>98</v>
      </c>
    </row>
    <row r="46" spans="1:32" ht="15">
      <c r="A46" s="62" t="s">
        <v>103</v>
      </c>
      <c r="B46" s="4" t="str">
        <f>CONCATENATE("L"," = ","((",B38,"/",B32,")"," - ","(",B40,"x2x",B43,")) / 2x",B43)</f>
        <v>L = ((862.5/0) - (x2x)) / 2x</v>
      </c>
      <c r="C46" s="4"/>
    </row>
    <row r="47" spans="1:32">
      <c r="A47"/>
      <c r="B47"/>
      <c r="C47"/>
    </row>
    <row r="48" spans="1:32" ht="15">
      <c r="A48" s="41" t="s">
        <v>104</v>
      </c>
      <c r="B48" s="3" t="str">
        <f>IF(OR(B21=0,B32=0),"",IF(OR(B40="",B43=""),0,IF(OR(B40=0,B43=0),0,CONCATENATE(ROUND(B45,2)," x ",ROUND(B40,2)," x ",ROUND(B43,2)," m"))))</f>
        <v/>
      </c>
      <c r="C48" s="3"/>
    </row>
    <row r="50" spans="1:3">
      <c r="A50"/>
      <c r="B50"/>
      <c r="C50"/>
    </row>
    <row r="51" spans="1:3">
      <c r="A51" s="24" t="s">
        <v>105</v>
      </c>
      <c r="B51" s="25"/>
      <c r="C51" s="25"/>
    </row>
    <row r="53" spans="1:3" ht="15">
      <c r="A53" s="14" t="s">
        <v>106</v>
      </c>
      <c r="B53" s="63" t="str">
        <f>IF(OR(B21=0,B32=0),"",IF(OR(B40="",B43=""),0,IF(OR(B40=0,B43=0),0,B43*2)))</f>
        <v/>
      </c>
      <c r="C53" s="32" t="s">
        <v>98</v>
      </c>
    </row>
    <row r="56" spans="1:3">
      <c r="A56" s="24" t="s">
        <v>107</v>
      </c>
      <c r="B56" s="25"/>
      <c r="C56" s="25"/>
    </row>
    <row r="58" spans="1:3" ht="15">
      <c r="A58" s="14" t="s">
        <v>108</v>
      </c>
      <c r="B58" s="63" t="str">
        <f>IF(OR(B21=0,B32=0),"",IF(OR(B40="",B43=""),0,IF(OR(B40=0,B43=0),0,(B40*3*2)+(((B45+6)*3)*2))))</f>
        <v/>
      </c>
      <c r="C58" s="32" t="s">
        <v>109</v>
      </c>
    </row>
    <row r="59" spans="1:3">
      <c r="A59" s="5" t="s">
        <v>110</v>
      </c>
      <c r="B59" s="5"/>
      <c r="C59" s="5"/>
    </row>
    <row r="60" spans="1:3">
      <c r="A60" s="64"/>
      <c r="B60" s="64"/>
      <c r="C60" s="65"/>
    </row>
    <row r="61" spans="1:3">
      <c r="A61" s="66"/>
      <c r="B61" s="67" t="s">
        <v>111</v>
      </c>
      <c r="C61"/>
    </row>
    <row r="62" spans="1:3">
      <c r="A62" s="66"/>
      <c r="B62" s="65"/>
      <c r="C62" s="65"/>
    </row>
    <row r="63" spans="1:3">
      <c r="A63"/>
      <c r="B63"/>
      <c r="C63"/>
    </row>
    <row r="64" spans="1:3">
      <c r="A64"/>
      <c r="B64"/>
      <c r="C64"/>
    </row>
    <row r="67" spans="4:5">
      <c r="D67" s="64"/>
      <c r="E67" s="65"/>
    </row>
    <row r="68" spans="4:5">
      <c r="D68" s="66"/>
      <c r="E68" s="66"/>
    </row>
    <row r="69" spans="4:5">
      <c r="D69" s="65"/>
      <c r="E69" s="65"/>
    </row>
  </sheetData>
  <sheetProtection password="E2C7" sheet="1" objects="1" scenarios="1" selectLockedCells="1"/>
  <mergeCells count="22">
    <mergeCell ref="B46:C46"/>
    <mergeCell ref="B48:C48"/>
    <mergeCell ref="A59:C59"/>
    <mergeCell ref="B12:C12"/>
    <mergeCell ref="A30:C30"/>
    <mergeCell ref="I32:K32"/>
    <mergeCell ref="A41:C41"/>
    <mergeCell ref="A44:C44"/>
    <mergeCell ref="B3:C3"/>
    <mergeCell ref="B5:C5"/>
    <mergeCell ref="A7:C7"/>
    <mergeCell ref="Y7:Z8"/>
    <mergeCell ref="AA7:AB7"/>
    <mergeCell ref="A8:C8"/>
    <mergeCell ref="AA8:AB8"/>
    <mergeCell ref="A1:C1"/>
    <mergeCell ref="I1:K1"/>
    <mergeCell ref="Y1:AB1"/>
    <mergeCell ref="AH1:AJ1"/>
    <mergeCell ref="P2:W2"/>
    <mergeCell ref="Y2:Z2"/>
    <mergeCell ref="AA2:AB2"/>
  </mergeCells>
  <dataValidations count="3">
    <dataValidation operator="equal" allowBlank="1" showErrorMessage="1" sqref="G10 B15 C24">
      <formula1>0</formula1>
      <formula2>0</formula2>
    </dataValidation>
    <dataValidation type="list" operator="equal" allowBlank="1" showErrorMessage="1" sqref="B12">
      <formula1>$I$16:$I$31</formula1>
      <formula2>0</formula2>
    </dataValidation>
    <dataValidation type="list" operator="equal" allowBlank="1" showErrorMessage="1" sqref="B14">
      <formula1>$M$7:$M$14</formula1>
      <formula2>0</formula2>
    </dataValidation>
  </dataValidations>
  <printOptions horizontalCentered="1"/>
  <pageMargins left="0.78749999999999998" right="0.78749999999999998" top="0.78749999999999998" bottom="0.87083333333333302" header="0.51180555555555496" footer="0.78749999999999998"/>
  <pageSetup paperSize="9" scale="94" orientation="portrait" useFirstPageNumber="1" horizontalDpi="300" verticalDpi="300"/>
  <headerFooter>
    <oddFooter>&amp;C&amp;"Arial,Italic"&amp;6Copyright © 2017 - M. Keuter - Some Rights Reserved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3"/>
  <sheetViews>
    <sheetView zoomScaleNormal="100" workbookViewId="0">
      <selection activeCell="B26" sqref="B26"/>
    </sheetView>
  </sheetViews>
  <sheetFormatPr defaultColWidth="11.5703125" defaultRowHeight="12.75"/>
  <cols>
    <col min="1" max="1" width="40.140625" style="14" customWidth="1"/>
    <col min="2" max="3" width="19.140625" style="14" customWidth="1"/>
    <col min="4" max="64" width="11.5703125" style="14"/>
  </cols>
  <sheetData>
    <row r="1" spans="1:37" ht="18">
      <c r="A1" s="13" t="s">
        <v>0</v>
      </c>
      <c r="B1" s="13"/>
      <c r="C1" s="13"/>
      <c r="G1" s="45"/>
      <c r="I1" s="16"/>
      <c r="J1" s="17"/>
      <c r="K1" s="17"/>
      <c r="X1" s="17"/>
      <c r="Y1" s="18"/>
      <c r="Z1" s="17"/>
      <c r="AA1" s="17"/>
      <c r="AB1" s="17"/>
      <c r="AD1" s="17"/>
      <c r="AE1" s="17"/>
      <c r="AF1" s="17"/>
      <c r="AG1" s="17"/>
      <c r="AH1" s="18"/>
      <c r="AI1" s="17"/>
      <c r="AJ1" s="17"/>
      <c r="AK1" s="17"/>
    </row>
    <row r="2" spans="1:37">
      <c r="G2" s="45"/>
      <c r="I2" s="44"/>
      <c r="J2" s="44"/>
      <c r="K2" s="44"/>
      <c r="M2" s="68"/>
      <c r="O2" s="44"/>
      <c r="P2" s="45"/>
      <c r="X2" s="17"/>
      <c r="Y2" s="44"/>
      <c r="Z2" s="69"/>
      <c r="AA2" s="44"/>
      <c r="AB2" s="69"/>
      <c r="AE2" s="18"/>
      <c r="AH2" s="18"/>
      <c r="AI2" s="70"/>
      <c r="AK2" s="45"/>
    </row>
    <row r="3" spans="1:37">
      <c r="A3" s="21" t="s">
        <v>12</v>
      </c>
      <c r="B3" s="2">
        <f>Worksheet!B3</f>
        <v>0</v>
      </c>
      <c r="C3" s="2"/>
      <c r="G3" s="45"/>
      <c r="I3" s="44"/>
      <c r="J3" s="44"/>
      <c r="K3" s="44"/>
      <c r="M3" s="68"/>
      <c r="O3" s="44"/>
      <c r="P3" s="45"/>
      <c r="X3" s="17"/>
      <c r="Y3" s="44"/>
      <c r="Z3" s="69"/>
      <c r="AA3" s="44"/>
      <c r="AB3" s="69"/>
      <c r="AE3" s="18"/>
      <c r="AH3" s="18"/>
      <c r="AI3" s="70"/>
      <c r="AK3" s="45"/>
    </row>
    <row r="4" spans="1:37">
      <c r="A4" s="18"/>
      <c r="B4" s="64"/>
      <c r="C4" s="64"/>
      <c r="G4" s="45"/>
      <c r="I4" s="44"/>
      <c r="J4" s="44"/>
      <c r="K4" s="44"/>
      <c r="M4" s="68"/>
      <c r="O4" s="44"/>
      <c r="P4" s="45"/>
      <c r="X4" s="17"/>
      <c r="Y4" s="44"/>
      <c r="Z4" s="69"/>
      <c r="AA4" s="44"/>
      <c r="AB4" s="69"/>
      <c r="AE4" s="18"/>
      <c r="AH4" s="18"/>
      <c r="AI4" s="70"/>
      <c r="AK4" s="45"/>
    </row>
    <row r="5" spans="1:37">
      <c r="A5" s="21" t="s">
        <v>13</v>
      </c>
      <c r="B5" s="2">
        <f>Worksheet!B5</f>
        <v>0</v>
      </c>
      <c r="C5" s="2"/>
      <c r="G5" s="45"/>
      <c r="I5" s="44"/>
      <c r="J5" s="44"/>
      <c r="K5" s="44"/>
      <c r="M5" s="68"/>
      <c r="O5" s="44"/>
      <c r="P5" s="45"/>
      <c r="X5" s="17"/>
      <c r="Y5" s="44"/>
      <c r="Z5" s="69"/>
      <c r="AA5" s="44"/>
      <c r="AB5" s="69"/>
      <c r="AE5" s="18"/>
      <c r="AH5" s="18"/>
      <c r="AI5" s="70"/>
      <c r="AK5" s="45"/>
    </row>
    <row r="6" spans="1:37">
      <c r="G6" s="45"/>
      <c r="I6" s="44"/>
      <c r="J6" s="44"/>
      <c r="K6" s="44"/>
      <c r="M6" s="68"/>
      <c r="O6" s="44"/>
      <c r="P6" s="45"/>
      <c r="X6" s="17"/>
      <c r="Y6" s="44"/>
      <c r="Z6" s="69"/>
      <c r="AA6" s="44"/>
      <c r="AB6" s="69"/>
      <c r="AE6" s="18"/>
      <c r="AF6" s="18"/>
      <c r="AI6" s="70"/>
      <c r="AK6" s="70"/>
    </row>
    <row r="7" spans="1:37" ht="12.75" customHeight="1">
      <c r="A7" s="8" t="s">
        <v>16</v>
      </c>
      <c r="B7" s="8"/>
      <c r="C7" s="8"/>
      <c r="G7" s="45"/>
      <c r="I7" s="44"/>
      <c r="J7" s="44"/>
      <c r="K7" s="44"/>
      <c r="M7" s="45"/>
      <c r="O7" s="45"/>
      <c r="P7" s="45"/>
      <c r="Q7" s="45"/>
      <c r="R7" s="45"/>
      <c r="S7" s="45"/>
      <c r="T7" s="45"/>
      <c r="U7" s="45"/>
      <c r="V7" s="45"/>
      <c r="W7" s="45"/>
      <c r="X7" s="17"/>
      <c r="Y7" s="44"/>
      <c r="Z7" s="69"/>
      <c r="AA7" s="44"/>
      <c r="AB7" s="69"/>
      <c r="AE7" s="68"/>
      <c r="AF7" s="68"/>
      <c r="AI7" s="45"/>
      <c r="AK7" s="45"/>
    </row>
    <row r="8" spans="1:37">
      <c r="A8" s="7" t="s">
        <v>21</v>
      </c>
      <c r="B8" s="7"/>
      <c r="C8" s="7"/>
      <c r="G8" s="45"/>
      <c r="I8" s="44"/>
      <c r="J8" s="44"/>
      <c r="K8" s="44"/>
      <c r="M8" s="45"/>
      <c r="O8" s="45"/>
      <c r="P8" s="45"/>
      <c r="Q8" s="45"/>
      <c r="R8" s="45"/>
      <c r="S8" s="45"/>
      <c r="T8" s="45"/>
      <c r="U8" s="45"/>
      <c r="V8" s="45"/>
      <c r="W8" s="45"/>
      <c r="X8" s="17"/>
      <c r="Y8" s="17"/>
      <c r="Z8" s="17"/>
      <c r="AA8" s="44"/>
      <c r="AB8" s="69"/>
      <c r="AE8" s="68"/>
      <c r="AF8" s="68"/>
      <c r="AH8" s="68"/>
      <c r="AI8" s="45"/>
      <c r="AK8" s="45"/>
    </row>
    <row r="9" spans="1:37">
      <c r="I9" s="71"/>
      <c r="J9" s="44"/>
      <c r="K9" s="44"/>
      <c r="M9" s="45"/>
      <c r="O9" s="45"/>
      <c r="P9" s="45"/>
      <c r="Q9" s="45"/>
      <c r="R9" s="45"/>
      <c r="S9" s="45"/>
      <c r="T9" s="45"/>
      <c r="U9" s="45"/>
      <c r="V9" s="45"/>
      <c r="W9" s="45"/>
      <c r="X9" s="17"/>
      <c r="Y9" s="44"/>
      <c r="Z9" s="44"/>
      <c r="AA9" s="44"/>
      <c r="AB9" s="44"/>
      <c r="AE9" s="68"/>
      <c r="AF9" s="68"/>
      <c r="AH9" s="68"/>
      <c r="AI9" s="45"/>
      <c r="AK9" s="45"/>
    </row>
    <row r="10" spans="1:37">
      <c r="A10" s="24" t="s">
        <v>31</v>
      </c>
      <c r="B10" s="25"/>
      <c r="C10" s="25"/>
      <c r="G10" s="45"/>
      <c r="I10" s="68"/>
      <c r="J10" s="68"/>
      <c r="K10" s="68"/>
      <c r="M10" s="45"/>
      <c r="O10" s="45"/>
      <c r="P10" s="45"/>
      <c r="Q10" s="45"/>
      <c r="R10" s="45"/>
      <c r="S10" s="45"/>
      <c r="T10" s="45"/>
      <c r="U10" s="45"/>
      <c r="V10" s="45"/>
      <c r="W10" s="45"/>
      <c r="X10" s="17"/>
      <c r="Y10" s="44"/>
      <c r="Z10" s="44"/>
      <c r="AA10" s="44"/>
      <c r="AB10" s="44"/>
      <c r="AE10" s="68"/>
      <c r="AF10" s="68"/>
      <c r="AH10" s="68"/>
      <c r="AI10" s="44"/>
      <c r="AK10" s="44"/>
    </row>
    <row r="11" spans="1:37">
      <c r="I11" s="56"/>
      <c r="J11" s="44"/>
      <c r="K11" s="44"/>
      <c r="M11" s="45"/>
      <c r="O11" s="45"/>
      <c r="P11" s="45"/>
      <c r="Q11" s="45"/>
      <c r="R11" s="45"/>
      <c r="S11" s="45"/>
      <c r="T11" s="45"/>
      <c r="U11" s="45"/>
      <c r="V11" s="45"/>
      <c r="W11" s="45"/>
      <c r="X11" s="17"/>
      <c r="Y11" s="44"/>
      <c r="Z11" s="44"/>
      <c r="AA11" s="44"/>
      <c r="AB11" s="44"/>
      <c r="AE11" s="68"/>
      <c r="AF11" s="68"/>
      <c r="AH11" s="68"/>
      <c r="AI11" s="45"/>
      <c r="AK11" s="45"/>
    </row>
    <row r="12" spans="1:37">
      <c r="A12" s="14" t="s">
        <v>37</v>
      </c>
      <c r="B12" s="1" t="str">
        <f>Worksheet!B12</f>
        <v>Dwelling unit with 2 bedrooms</v>
      </c>
      <c r="C12" s="1"/>
      <c r="I12" s="56"/>
      <c r="J12" s="44"/>
      <c r="K12" s="44"/>
      <c r="M12" s="45"/>
      <c r="X12" s="17"/>
      <c r="Y12" s="44"/>
      <c r="Z12" s="44"/>
      <c r="AA12" s="44"/>
      <c r="AB12" s="44"/>
      <c r="AE12" s="68"/>
      <c r="AF12" s="68"/>
      <c r="AH12" s="68"/>
      <c r="AI12" s="44"/>
      <c r="AK12" s="44"/>
    </row>
    <row r="13" spans="1:37">
      <c r="I13" s="56"/>
      <c r="J13" s="44"/>
      <c r="K13" s="44"/>
      <c r="L13" s="44"/>
      <c r="O13" s="18"/>
      <c r="X13" s="17"/>
      <c r="Y13" s="17"/>
      <c r="AE13" s="68"/>
      <c r="AF13" s="68"/>
      <c r="AH13" s="68"/>
      <c r="AI13" s="45"/>
      <c r="AK13" s="45"/>
    </row>
    <row r="14" spans="1:37">
      <c r="A14" s="36" t="str">
        <f>Worksheet!A18</f>
        <v>No.of Bedrooms</v>
      </c>
      <c r="B14" s="37">
        <f>Worksheet!B18</f>
        <v>2</v>
      </c>
      <c r="I14" s="56"/>
      <c r="J14" s="44"/>
      <c r="K14" s="44"/>
      <c r="L14" s="44"/>
      <c r="X14" s="17"/>
      <c r="Y14" s="17"/>
      <c r="AE14" s="68"/>
      <c r="AF14" s="68"/>
      <c r="AH14" s="68"/>
      <c r="AI14" s="45"/>
      <c r="AK14" s="45"/>
    </row>
    <row r="15" spans="1:37">
      <c r="I15" s="56"/>
      <c r="J15" s="44"/>
      <c r="K15" s="44"/>
      <c r="L15" s="44"/>
      <c r="AE15" s="68"/>
      <c r="AF15" s="68"/>
      <c r="AI15" s="72"/>
      <c r="AK15" s="72"/>
    </row>
    <row r="16" spans="1:37" ht="15">
      <c r="A16" s="41" t="s">
        <v>58</v>
      </c>
      <c r="B16" s="42">
        <f>Worksheet!B21</f>
        <v>0</v>
      </c>
      <c r="C16" s="32" t="s">
        <v>59</v>
      </c>
      <c r="I16" s="56"/>
      <c r="J16" s="44"/>
      <c r="K16" s="68"/>
      <c r="L16" s="44"/>
      <c r="AE16" s="68"/>
      <c r="AF16" s="68"/>
    </row>
    <row r="17" spans="1:35">
      <c r="I17" s="56"/>
      <c r="J17" s="44"/>
      <c r="K17" s="68"/>
      <c r="L17" s="44"/>
      <c r="AE17" s="68"/>
      <c r="AF17" s="68"/>
    </row>
    <row r="18" spans="1:35">
      <c r="A18" s="24" t="s">
        <v>63</v>
      </c>
      <c r="B18" s="25"/>
      <c r="C18" s="25"/>
      <c r="I18" s="56"/>
      <c r="J18" s="44"/>
      <c r="K18" s="68"/>
      <c r="L18" s="44"/>
      <c r="AE18" s="68"/>
      <c r="AF18" s="68"/>
    </row>
    <row r="19" spans="1:35">
      <c r="B19" s="44"/>
      <c r="C19" s="45"/>
      <c r="I19" s="56"/>
      <c r="J19" s="44"/>
      <c r="K19" s="68"/>
      <c r="L19" s="44"/>
      <c r="AE19" s="68"/>
      <c r="AF19" s="68"/>
      <c r="AH19" s="45"/>
      <c r="AI19" s="73"/>
    </row>
    <row r="20" spans="1:35" ht="15.75">
      <c r="A20" s="14" t="s">
        <v>86</v>
      </c>
      <c r="B20" s="54">
        <f>Worksheet!B32</f>
        <v>0</v>
      </c>
      <c r="C20" s="32" t="s">
        <v>69</v>
      </c>
      <c r="I20" s="56"/>
      <c r="J20" s="44"/>
      <c r="K20" s="68"/>
      <c r="L20" s="44"/>
      <c r="AE20" s="68"/>
      <c r="AF20" s="68"/>
      <c r="AH20" s="45"/>
      <c r="AI20" s="74"/>
    </row>
    <row r="21" spans="1:35">
      <c r="I21" s="56"/>
      <c r="J21" s="44"/>
      <c r="K21" s="68"/>
      <c r="L21" s="44"/>
      <c r="AE21" s="68"/>
      <c r="AF21" s="68"/>
      <c r="AH21" s="45"/>
      <c r="AI21" s="75"/>
    </row>
    <row r="22" spans="1:35">
      <c r="A22" s="24" t="s">
        <v>88</v>
      </c>
      <c r="B22" s="25"/>
      <c r="C22" s="25"/>
      <c r="I22" s="56"/>
      <c r="J22" s="44"/>
      <c r="K22" s="68"/>
      <c r="L22" s="44"/>
      <c r="AE22" s="68"/>
      <c r="AF22" s="68"/>
      <c r="AI22" s="75"/>
    </row>
    <row r="23" spans="1:35">
      <c r="I23" s="56"/>
      <c r="J23" s="44"/>
      <c r="K23" s="68"/>
      <c r="L23" s="44"/>
      <c r="AE23" s="68"/>
      <c r="AF23" s="68"/>
    </row>
    <row r="24" spans="1:35">
      <c r="A24" s="56" t="s">
        <v>90</v>
      </c>
      <c r="B24" s="54">
        <f>Worksheet!B36</f>
        <v>750</v>
      </c>
      <c r="C24" s="57" t="s">
        <v>91</v>
      </c>
      <c r="I24" s="56"/>
      <c r="J24" s="44"/>
      <c r="K24" s="68"/>
      <c r="L24" s="44"/>
      <c r="AE24" s="68"/>
      <c r="AF24" s="68"/>
    </row>
    <row r="25" spans="1:35">
      <c r="A25" s="14" t="s">
        <v>94</v>
      </c>
      <c r="B25" s="58">
        <f>Worksheet!B37</f>
        <v>112.5</v>
      </c>
      <c r="C25" s="57" t="s">
        <v>91</v>
      </c>
      <c r="I25" s="56"/>
      <c r="J25" s="44"/>
      <c r="K25" s="68"/>
      <c r="L25" s="44"/>
      <c r="AE25" s="68"/>
      <c r="AF25" s="68"/>
    </row>
    <row r="26" spans="1:35">
      <c r="A26" s="14" t="s">
        <v>95</v>
      </c>
      <c r="B26" s="37">
        <f>Worksheet!B38</f>
        <v>862.5</v>
      </c>
      <c r="C26" s="57" t="s">
        <v>91</v>
      </c>
      <c r="I26" s="56"/>
      <c r="J26" s="44"/>
      <c r="K26" s="68"/>
      <c r="L26" s="44"/>
      <c r="AE26" s="68"/>
      <c r="AF26" s="68"/>
    </row>
    <row r="27" spans="1:35">
      <c r="I27" s="45"/>
      <c r="AE27" s="68"/>
      <c r="AF27" s="68"/>
    </row>
    <row r="28" spans="1:35">
      <c r="A28" s="65"/>
      <c r="B28" s="65"/>
      <c r="C28" s="65"/>
      <c r="AE28" s="68"/>
      <c r="AF28" s="68"/>
    </row>
    <row r="29" spans="1:35" ht="15">
      <c r="A29" s="41" t="s">
        <v>104</v>
      </c>
      <c r="B29" s="3" t="str">
        <f>Worksheet!B48</f>
        <v/>
      </c>
      <c r="C29" s="3"/>
      <c r="I29" s="68"/>
      <c r="J29" s="69"/>
      <c r="AE29" s="68"/>
      <c r="AF29" s="68"/>
    </row>
    <row r="30" spans="1:35">
      <c r="I30" s="68"/>
      <c r="J30" s="68"/>
      <c r="AE30" s="68"/>
      <c r="AF30" s="68"/>
    </row>
    <row r="31" spans="1:35">
      <c r="A31" s="65"/>
      <c r="B31" s="65"/>
      <c r="C31" s="65"/>
      <c r="I31" s="68"/>
      <c r="J31" s="68"/>
      <c r="AE31" s="68"/>
      <c r="AF31" s="68"/>
    </row>
    <row r="32" spans="1:35">
      <c r="A32" s="24" t="s">
        <v>105</v>
      </c>
      <c r="B32" s="25"/>
      <c r="C32" s="25"/>
    </row>
    <row r="33" spans="1:10">
      <c r="H33" s="70"/>
      <c r="I33" s="68"/>
      <c r="J33" s="68"/>
    </row>
    <row r="34" spans="1:10" ht="15">
      <c r="A34" s="14" t="s">
        <v>106</v>
      </c>
      <c r="B34" s="63" t="str">
        <f>Worksheet!B53</f>
        <v/>
      </c>
      <c r="C34" s="32" t="s">
        <v>98</v>
      </c>
    </row>
    <row r="37" spans="1:10">
      <c r="A37" s="24" t="s">
        <v>107</v>
      </c>
      <c r="B37" s="25"/>
      <c r="C37" s="25"/>
    </row>
    <row r="39" spans="1:10" ht="15">
      <c r="A39" s="14" t="s">
        <v>108</v>
      </c>
      <c r="B39" s="63" t="str">
        <f>Worksheet!B58</f>
        <v/>
      </c>
      <c r="C39" s="32" t="s">
        <v>109</v>
      </c>
    </row>
    <row r="40" spans="1:10">
      <c r="A40" s="5" t="s">
        <v>110</v>
      </c>
      <c r="B40" s="5"/>
      <c r="C40" s="5"/>
    </row>
    <row r="41" spans="1:10">
      <c r="A41" s="64"/>
      <c r="B41" s="64"/>
      <c r="C41" s="65"/>
    </row>
    <row r="42" spans="1:10">
      <c r="A42" s="66"/>
      <c r="B42" s="67" t="s">
        <v>111</v>
      </c>
      <c r="C42" s="65"/>
    </row>
    <row r="43" spans="1:10">
      <c r="A43" s="66"/>
      <c r="B43" s="65"/>
      <c r="C43" s="65"/>
    </row>
    <row r="44" spans="1:10">
      <c r="A44" s="65"/>
      <c r="B44" s="65"/>
      <c r="C44" s="65"/>
    </row>
    <row r="45" spans="1:10">
      <c r="A45" s="65"/>
      <c r="B45" s="65"/>
      <c r="C45" s="65"/>
    </row>
    <row r="62" spans="4:5">
      <c r="D62" s="64"/>
    </row>
    <row r="63" spans="4:5">
      <c r="D63" s="66"/>
      <c r="E63" s="66"/>
    </row>
  </sheetData>
  <sheetProtection password="E2C7" sheet="1" objects="1" scenarios="1"/>
  <mergeCells count="8">
    <mergeCell ref="B12:C12"/>
    <mergeCell ref="B29:C29"/>
    <mergeCell ref="A40:C40"/>
    <mergeCell ref="A1:C1"/>
    <mergeCell ref="B3:C3"/>
    <mergeCell ref="B5:C5"/>
    <mergeCell ref="A7:C7"/>
    <mergeCell ref="A8:C8"/>
  </mergeCells>
  <dataValidations count="1">
    <dataValidation operator="equal" allowBlank="1" showErrorMessage="1" sqref="G10 B12 C19">
      <formula1>0</formula1>
      <formula2>0</formula2>
    </dataValidation>
  </dataValidations>
  <printOptions horizontalCentered="1"/>
  <pageMargins left="0.78749999999999998" right="0.78749999999999998" top="0.78749999999999998" bottom="0.87083333333333302" header="0.51180555555555496" footer="0.78749999999999998"/>
  <pageSetup paperSize="9" scale="94" orientation="portrait" horizontalDpi="300" verticalDpi="300"/>
  <headerFooter>
    <oddFooter>&amp;C&amp;"Arial,Italic"&amp;6Copyright © 2017 - M. Keuter - Some Rights Reserved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abSelected="1" zoomScaleNormal="100" workbookViewId="0">
      <selection activeCell="A5" sqref="A5"/>
    </sheetView>
  </sheetViews>
  <sheetFormatPr defaultColWidth="11.5703125" defaultRowHeight="12.75"/>
  <cols>
    <col min="1" max="1" width="103.5703125" customWidth="1"/>
  </cols>
  <sheetData>
    <row r="1" spans="1:1" ht="18">
      <c r="A1" s="76" t="s">
        <v>0</v>
      </c>
    </row>
    <row r="3" spans="1:1">
      <c r="A3" s="77" t="s">
        <v>112</v>
      </c>
    </row>
    <row r="4" spans="1:1">
      <c r="A4" s="78" t="s">
        <v>149</v>
      </c>
    </row>
    <row r="5" spans="1:1">
      <c r="A5" s="78"/>
    </row>
    <row r="6" spans="1:1">
      <c r="A6" t="s">
        <v>113</v>
      </c>
    </row>
    <row r="8" spans="1:1">
      <c r="A8" s="79" t="s">
        <v>114</v>
      </c>
    </row>
    <row r="10" spans="1:1">
      <c r="A10" s="79" t="s">
        <v>115</v>
      </c>
    </row>
    <row r="11" spans="1:1">
      <c r="A11" s="79" t="s">
        <v>116</v>
      </c>
    </row>
    <row r="12" spans="1:1">
      <c r="A12" s="80" t="s">
        <v>117</v>
      </c>
    </row>
    <row r="13" spans="1:1">
      <c r="A13" s="79" t="s">
        <v>118</v>
      </c>
    </row>
    <row r="14" spans="1:1">
      <c r="A14" s="79" t="s">
        <v>119</v>
      </c>
    </row>
    <row r="15" spans="1:1">
      <c r="A15" s="79"/>
    </row>
    <row r="16" spans="1:1">
      <c r="A16" s="79" t="s">
        <v>120</v>
      </c>
    </row>
    <row r="17" spans="1:1">
      <c r="A17" s="80" t="s">
        <v>121</v>
      </c>
    </row>
    <row r="18" spans="1:1">
      <c r="A18" s="79" t="s">
        <v>122</v>
      </c>
    </row>
    <row r="19" spans="1:1">
      <c r="A19" s="79" t="s">
        <v>123</v>
      </c>
    </row>
    <row r="20" spans="1:1">
      <c r="A20" s="80" t="s">
        <v>124</v>
      </c>
    </row>
    <row r="21" spans="1:1">
      <c r="A21" s="79" t="s">
        <v>125</v>
      </c>
    </row>
    <row r="22" spans="1:1">
      <c r="A22" s="79" t="s">
        <v>126</v>
      </c>
    </row>
    <row r="23" spans="1:1">
      <c r="A23" s="79" t="s">
        <v>127</v>
      </c>
    </row>
    <row r="24" spans="1:1">
      <c r="A24" s="79" t="s">
        <v>128</v>
      </c>
    </row>
    <row r="25" spans="1:1">
      <c r="A25" s="79"/>
    </row>
    <row r="26" spans="1:1">
      <c r="A26" s="79" t="s">
        <v>129</v>
      </c>
    </row>
    <row r="27" spans="1:1">
      <c r="A27" s="79" t="s">
        <v>130</v>
      </c>
    </row>
    <row r="28" spans="1:1">
      <c r="A28" s="79" t="s">
        <v>131</v>
      </c>
    </row>
    <row r="29" spans="1:1">
      <c r="A29" s="79"/>
    </row>
    <row r="30" spans="1:1">
      <c r="A30" s="79" t="s">
        <v>132</v>
      </c>
    </row>
    <row r="31" spans="1:1">
      <c r="A31" s="79" t="s">
        <v>133</v>
      </c>
    </row>
    <row r="32" spans="1:1">
      <c r="A32" s="79" t="s">
        <v>134</v>
      </c>
    </row>
    <row r="33" spans="1:1">
      <c r="A33" s="79" t="s">
        <v>135</v>
      </c>
    </row>
    <row r="34" spans="1:1">
      <c r="A34" s="79" t="s">
        <v>136</v>
      </c>
    </row>
    <row r="35" spans="1:1">
      <c r="A35" s="79"/>
    </row>
    <row r="36" spans="1:1">
      <c r="A36" s="79"/>
    </row>
    <row r="37" spans="1:1">
      <c r="A37" s="81" t="s">
        <v>137</v>
      </c>
    </row>
    <row r="38" spans="1:1">
      <c r="A38" s="79" t="s">
        <v>138</v>
      </c>
    </row>
    <row r="39" spans="1:1">
      <c r="A39" s="79" t="s">
        <v>139</v>
      </c>
    </row>
    <row r="40" spans="1:1">
      <c r="A40" s="79" t="s">
        <v>140</v>
      </c>
    </row>
    <row r="41" spans="1:1">
      <c r="A41" s="79" t="s">
        <v>141</v>
      </c>
    </row>
    <row r="42" spans="1:1">
      <c r="A42" s="79" t="s">
        <v>142</v>
      </c>
    </row>
    <row r="43" spans="1:1">
      <c r="A43" s="79"/>
    </row>
    <row r="44" spans="1:1">
      <c r="A44" s="79" t="s">
        <v>143</v>
      </c>
    </row>
    <row r="45" spans="1:1">
      <c r="A45" s="79" t="s">
        <v>144</v>
      </c>
    </row>
    <row r="46" spans="1:1">
      <c r="A46" s="79" t="s">
        <v>145</v>
      </c>
    </row>
    <row r="47" spans="1:1">
      <c r="A47" s="79" t="s">
        <v>146</v>
      </c>
    </row>
    <row r="48" spans="1:1">
      <c r="A48" s="79"/>
    </row>
    <row r="49" spans="1:1">
      <c r="A49" s="79" t="s">
        <v>147</v>
      </c>
    </row>
    <row r="50" spans="1:1">
      <c r="A50" s="79" t="s">
        <v>148</v>
      </c>
    </row>
    <row r="51" spans="1:1">
      <c r="A51" s="79"/>
    </row>
  </sheetData>
  <sheetProtection password="E2C7" sheet="1" objects="1" scenarios="1"/>
  <printOptions horizontalCentered="1"/>
  <pageMargins left="0.78749999999999998" right="0.78749999999999998" top="0.78749999999999998" bottom="0.87083333333333302" header="0.51180555555555496" footer="0.78749999999999998"/>
  <pageSetup paperSize="9" scale="94" orientation="portrait" horizontalDpi="300" verticalDpi="300"/>
  <headerFooter>
    <oddFooter>&amp;C&amp;"Arial,Italic"&amp;6Copyright © 2017 - M. Keuter - Some Rights Reserved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27465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Worksheet</vt:lpstr>
      <vt:lpstr>PrintOut</vt:lpstr>
      <vt:lpstr>Disclaimer</vt:lpstr>
      <vt:lpstr>PrintOut!Print_Area</vt:lpstr>
      <vt:lpstr>Worksheet!Print_Area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MC2</cp:lastModifiedBy>
  <cp:revision>137</cp:revision>
  <cp:lastPrinted>2020-01-07T15:17:22Z</cp:lastPrinted>
  <dcterms:created xsi:type="dcterms:W3CDTF">2017-06-27T08:57:14Z</dcterms:created>
  <dcterms:modified xsi:type="dcterms:W3CDTF">2020-08-14T15:44:00Z</dcterms:modified>
  <dc:language>en-ZA</dc:language>
</cp:coreProperties>
</file>